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dovergovuk.sharepoint.com/sites/ElectoralServices/Shared Documents/General/Boundary and PD Reviews/Community Governance Reviews/CGR 2026/Draft Documents/Final Documents/"/>
    </mc:Choice>
  </mc:AlternateContent>
  <xr:revisionPtr revIDLastSave="970" documentId="8_{18E31045-CA14-406D-9BE6-D1FA42D1A72D}" xr6:coauthVersionLast="47" xr6:coauthVersionMax="47" xr10:uidLastSave="{D331A581-3264-43A7-95FF-1212375D7F52}"/>
  <workbookProtection workbookAlgorithmName="SHA-512" workbookHashValue="fBiCP3TWutes+oJvjpkX1l+wcYzLulDSzW192SToWKFVcU23G5EQzAdsxLlgSf2mxnEb3NehfmVQO9Xv4OujmQ==" workbookSaltValue="k5eEgVQGNEJswdipjg986A==" workbookSpinCount="100000" lockStructure="1"/>
  <bookViews>
    <workbookView xWindow="-24270" yWindow="2400" windowWidth="21600" windowHeight="11295" tabRatio="500" xr2:uid="{5E35485F-7A05-4325-963C-9E34B179F979}"/>
  </bookViews>
  <sheets>
    <sheet name="DDC Electorate Forecast" sheetId="2" r:id="rId1"/>
    <sheet name="Notes" sheetId="5" r:id="rId2"/>
    <sheet name="Average electors per property" sheetId="1" r:id="rId3"/>
    <sheet name="ONS Data for comparison" sheetId="3" r:id="rId4"/>
    <sheet name="KCC data for comparison" sheetId="4" r:id="rId5"/>
  </sheets>
  <definedNames>
    <definedName name="_xlnm._FilterDatabase" localSheetId="0" hidden="1">'DDC Electorate Forecast'!$A$1:$N$53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0" i="1" l="1"/>
  <c r="D138" i="1"/>
  <c r="D136" i="1"/>
  <c r="D134" i="1"/>
  <c r="D132" i="1"/>
  <c r="D130" i="1"/>
  <c r="D128" i="1"/>
  <c r="D126" i="1"/>
  <c r="D124" i="1"/>
  <c r="D122" i="1"/>
  <c r="D120" i="1"/>
  <c r="D118" i="1"/>
  <c r="C116" i="1"/>
  <c r="D116" i="1" s="1"/>
  <c r="B116" i="1"/>
  <c r="D112" i="1"/>
  <c r="D110" i="1"/>
  <c r="D108" i="1"/>
  <c r="D106" i="1"/>
  <c r="D104" i="1"/>
  <c r="D102" i="1"/>
  <c r="D100" i="1"/>
  <c r="D98" i="1"/>
  <c r="D96" i="1"/>
  <c r="D94" i="1"/>
  <c r="D92" i="1"/>
  <c r="C90" i="1"/>
  <c r="D90" i="1" s="1"/>
  <c r="B90" i="1"/>
  <c r="D86" i="1"/>
  <c r="D84" i="1"/>
  <c r="D82" i="1"/>
  <c r="D80" i="1"/>
  <c r="D78" i="1"/>
  <c r="D76" i="1"/>
  <c r="D74" i="1"/>
  <c r="D72" i="1"/>
  <c r="D70" i="1"/>
  <c r="C70" i="1"/>
  <c r="B70" i="1"/>
  <c r="D66" i="1"/>
  <c r="C64" i="1"/>
  <c r="D64" i="1" s="1"/>
  <c r="B64" i="1"/>
  <c r="D60" i="1"/>
  <c r="D58" i="1"/>
  <c r="C58" i="1"/>
  <c r="B58" i="1"/>
  <c r="D54" i="1"/>
  <c r="C52" i="1"/>
  <c r="D52" i="1" s="1"/>
  <c r="B52" i="1"/>
  <c r="C48" i="1"/>
  <c r="D48" i="1" s="1"/>
  <c r="B48" i="1"/>
  <c r="C42" i="1"/>
  <c r="D42" i="1" s="1"/>
  <c r="B42" i="1"/>
  <c r="D37" i="1"/>
  <c r="D35" i="1"/>
  <c r="C33" i="1"/>
  <c r="D33" i="1" s="1"/>
  <c r="B33" i="1"/>
  <c r="D28" i="1"/>
  <c r="D26" i="1"/>
  <c r="D24" i="1"/>
  <c r="D22" i="1"/>
  <c r="C20" i="1"/>
  <c r="D20" i="1" s="1"/>
  <c r="B20" i="1"/>
  <c r="C15" i="1"/>
  <c r="D15" i="1" s="1"/>
  <c r="B15" i="1"/>
  <c r="C10" i="1"/>
  <c r="D10" i="1" s="1"/>
  <c r="B10" i="1"/>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7" i="2"/>
  <c r="H18" i="2"/>
  <c r="H16" i="2"/>
  <c r="H15" i="2"/>
  <c r="H14" i="2"/>
  <c r="H13" i="2"/>
  <c r="H12" i="2"/>
  <c r="H11" i="2"/>
  <c r="H10" i="2"/>
  <c r="H9" i="2"/>
  <c r="H8" i="2"/>
  <c r="H7" i="2"/>
  <c r="H6" i="2"/>
  <c r="H5" i="2"/>
  <c r="H3" i="2"/>
  <c r="H2" i="2"/>
  <c r="H4" i="2"/>
  <c r="D52" i="2"/>
  <c r="E52" i="2" s="1"/>
  <c r="F52" i="2" s="1"/>
  <c r="D51" i="2"/>
  <c r="E51" i="2" s="1"/>
  <c r="F51" i="2" s="1"/>
  <c r="D50" i="2"/>
  <c r="E50" i="2" s="1"/>
  <c r="F50" i="2" s="1"/>
  <c r="D49" i="2"/>
  <c r="E49" i="2" s="1"/>
  <c r="F49" i="2" s="1"/>
  <c r="D48" i="2"/>
  <c r="E48" i="2" s="1"/>
  <c r="F48" i="2" s="1"/>
  <c r="D47" i="2"/>
  <c r="E47" i="2" s="1"/>
  <c r="F47" i="2" s="1"/>
  <c r="D46" i="2"/>
  <c r="E46" i="2" s="1"/>
  <c r="F46" i="2" s="1"/>
  <c r="D45" i="2"/>
  <c r="E45" i="2" s="1"/>
  <c r="F45" i="2" s="1"/>
  <c r="D44" i="2"/>
  <c r="E44" i="2" s="1"/>
  <c r="F44" i="2" s="1"/>
  <c r="D43" i="2"/>
  <c r="E43" i="2" s="1"/>
  <c r="F43" i="2" s="1"/>
  <c r="D42" i="2"/>
  <c r="E42" i="2" s="1"/>
  <c r="F42" i="2" s="1"/>
  <c r="D41" i="2"/>
  <c r="E41" i="2" s="1"/>
  <c r="F41" i="2" s="1"/>
  <c r="D40" i="2"/>
  <c r="E40" i="2" s="1"/>
  <c r="F40" i="2" s="1"/>
  <c r="D39" i="2"/>
  <c r="E39" i="2" s="1"/>
  <c r="F39" i="2" s="1"/>
  <c r="D38" i="2"/>
  <c r="E38" i="2" s="1"/>
  <c r="F38" i="2" s="1"/>
  <c r="D37" i="2"/>
  <c r="E37" i="2" s="1"/>
  <c r="F37" i="2" s="1"/>
  <c r="D36" i="2"/>
  <c r="E36" i="2" s="1"/>
  <c r="F36" i="2" s="1"/>
  <c r="D35" i="2"/>
  <c r="E35" i="2" s="1"/>
  <c r="F35" i="2" s="1"/>
  <c r="D34" i="2"/>
  <c r="E34" i="2" s="1"/>
  <c r="F34" i="2" s="1"/>
  <c r="D33" i="2"/>
  <c r="E33" i="2" s="1"/>
  <c r="F33" i="2" s="1"/>
  <c r="D32" i="2"/>
  <c r="E32" i="2" s="1"/>
  <c r="F32" i="2" s="1"/>
  <c r="D31" i="2"/>
  <c r="E31" i="2" s="1"/>
  <c r="F31" i="2" s="1"/>
  <c r="D30" i="2"/>
  <c r="E30" i="2" s="1"/>
  <c r="F30" i="2" s="1"/>
  <c r="D29" i="2"/>
  <c r="E29" i="2" s="1"/>
  <c r="F29" i="2" s="1"/>
  <c r="D28" i="2"/>
  <c r="E28" i="2" s="1"/>
  <c r="F28" i="2" s="1"/>
  <c r="D27" i="2"/>
  <c r="E27" i="2" s="1"/>
  <c r="F27" i="2" s="1"/>
  <c r="D26" i="2"/>
  <c r="E26" i="2" s="1"/>
  <c r="F26" i="2" s="1"/>
  <c r="D25" i="2"/>
  <c r="E25" i="2" s="1"/>
  <c r="F25" i="2" s="1"/>
  <c r="D24" i="2"/>
  <c r="E24" i="2" s="1"/>
  <c r="F24" i="2" s="1"/>
  <c r="D23" i="2"/>
  <c r="E23" i="2" s="1"/>
  <c r="F23" i="2" s="1"/>
  <c r="D22" i="2"/>
  <c r="E22" i="2" s="1"/>
  <c r="F22" i="2" s="1"/>
  <c r="D21" i="2"/>
  <c r="E21" i="2" s="1"/>
  <c r="F21" i="2" s="1"/>
  <c r="D20" i="2"/>
  <c r="E20" i="2" s="1"/>
  <c r="F20" i="2" s="1"/>
  <c r="D19" i="2"/>
  <c r="E19" i="2" s="1"/>
  <c r="F19" i="2" s="1"/>
  <c r="D18" i="2"/>
  <c r="E18" i="2" s="1"/>
  <c r="F18" i="2" s="1"/>
  <c r="D17" i="2"/>
  <c r="E17" i="2" s="1"/>
  <c r="F17" i="2" s="1"/>
  <c r="D16" i="2"/>
  <c r="E16" i="2" s="1"/>
  <c r="F16" i="2" s="1"/>
  <c r="D15" i="2"/>
  <c r="E15" i="2" s="1"/>
  <c r="F15" i="2" s="1"/>
  <c r="D14" i="2"/>
  <c r="E14" i="2" s="1"/>
  <c r="F14" i="2" s="1"/>
  <c r="D13" i="2"/>
  <c r="E13" i="2" s="1"/>
  <c r="F13" i="2" s="1"/>
  <c r="D12" i="2"/>
  <c r="E12" i="2" s="1"/>
  <c r="F12" i="2" s="1"/>
  <c r="D11" i="2"/>
  <c r="E11" i="2" s="1"/>
  <c r="F11" i="2" s="1"/>
  <c r="D10" i="2"/>
  <c r="E10" i="2" s="1"/>
  <c r="F10" i="2" s="1"/>
  <c r="D9" i="2"/>
  <c r="E9" i="2" s="1"/>
  <c r="F9" i="2" s="1"/>
  <c r="D8" i="2"/>
  <c r="E8" i="2" s="1"/>
  <c r="F8" i="2" s="1"/>
  <c r="D7" i="2"/>
  <c r="E7" i="2" s="1"/>
  <c r="F7" i="2" s="1"/>
  <c r="D6" i="2"/>
  <c r="E6" i="2" s="1"/>
  <c r="F6" i="2" s="1"/>
  <c r="D5" i="2"/>
  <c r="E5" i="2" s="1"/>
  <c r="F5" i="2" s="1"/>
  <c r="D4" i="2"/>
  <c r="E4" i="2" s="1"/>
  <c r="F4" i="2" s="1"/>
  <c r="D3" i="2"/>
  <c r="E3" i="2" s="1"/>
  <c r="F3" i="2" s="1"/>
  <c r="D2" i="2"/>
  <c r="E2" i="2" s="1"/>
  <c r="F2" i="2" s="1"/>
  <c r="I20" i="2" l="1"/>
  <c r="K20" i="2" s="1"/>
  <c r="I8" i="2"/>
  <c r="K8" i="2" s="1"/>
  <c r="I28" i="2"/>
  <c r="N28" i="2" s="1"/>
  <c r="I19" i="2"/>
  <c r="N19" i="2" s="1"/>
  <c r="I32" i="2"/>
  <c r="N32" i="2" s="1"/>
  <c r="I24" i="2"/>
  <c r="K24" i="2" s="1"/>
  <c r="I16" i="2"/>
  <c r="K16" i="2" s="1"/>
  <c r="I40" i="2"/>
  <c r="K40" i="2" s="1"/>
  <c r="I45" i="2"/>
  <c r="K45" i="2" s="1"/>
  <c r="I51" i="2"/>
  <c r="N51" i="2" s="1"/>
  <c r="I52" i="2"/>
  <c r="K52" i="2" s="1"/>
  <c r="I34" i="2"/>
  <c r="K34" i="2" s="1"/>
  <c r="I42" i="2"/>
  <c r="N42" i="2" s="1"/>
  <c r="I14" i="2"/>
  <c r="N14" i="2" s="1"/>
  <c r="I22" i="2"/>
  <c r="N22" i="2" s="1"/>
  <c r="I36" i="2"/>
  <c r="N36" i="2" s="1"/>
  <c r="I30" i="2"/>
  <c r="N30" i="2" s="1"/>
  <c r="I5" i="2"/>
  <c r="K5" i="2" s="1"/>
  <c r="I10" i="2"/>
  <c r="N10" i="2" s="1"/>
  <c r="I26" i="2"/>
  <c r="K26" i="2" s="1"/>
  <c r="I11" i="2"/>
  <c r="K11" i="2" s="1"/>
  <c r="I27" i="2"/>
  <c r="K27" i="2" s="1"/>
  <c r="I35" i="2"/>
  <c r="K35" i="2" s="1"/>
  <c r="I4" i="2"/>
  <c r="K4" i="2" s="1"/>
  <c r="I6" i="2"/>
  <c r="N6" i="2" s="1"/>
  <c r="I13" i="2"/>
  <c r="K13" i="2" s="1"/>
  <c r="I21" i="2"/>
  <c r="N21" i="2" s="1"/>
  <c r="I29" i="2"/>
  <c r="K29" i="2" s="1"/>
  <c r="I37" i="2"/>
  <c r="K37" i="2" s="1"/>
  <c r="I38" i="2"/>
  <c r="N38" i="2" s="1"/>
  <c r="I46" i="2"/>
  <c r="N46" i="2" s="1"/>
  <c r="I7" i="2"/>
  <c r="K7" i="2" s="1"/>
  <c r="I15" i="2"/>
  <c r="K15" i="2" s="1"/>
  <c r="I23" i="2"/>
  <c r="K23" i="2" s="1"/>
  <c r="I31" i="2"/>
  <c r="N31" i="2" s="1"/>
  <c r="I39" i="2"/>
  <c r="K39" i="2" s="1"/>
  <c r="I47" i="2"/>
  <c r="N47" i="2" s="1"/>
  <c r="I48" i="2"/>
  <c r="K48" i="2" s="1"/>
  <c r="I2" i="2"/>
  <c r="N2" i="2" s="1"/>
  <c r="I9" i="2"/>
  <c r="N9" i="2" s="1"/>
  <c r="I18" i="2"/>
  <c r="N18" i="2" s="1"/>
  <c r="I25" i="2"/>
  <c r="N25" i="2" s="1"/>
  <c r="I33" i="2"/>
  <c r="N33" i="2" s="1"/>
  <c r="I41" i="2"/>
  <c r="N41" i="2" s="1"/>
  <c r="I49" i="2"/>
  <c r="N49" i="2" s="1"/>
  <c r="I17" i="2"/>
  <c r="K17" i="2" s="1"/>
  <c r="I50" i="2"/>
  <c r="K50" i="2" s="1"/>
  <c r="I43" i="2"/>
  <c r="N43" i="2" s="1"/>
  <c r="I3" i="2"/>
  <c r="N3" i="2" s="1"/>
  <c r="I12" i="2"/>
  <c r="N12" i="2" s="1"/>
  <c r="I44" i="2"/>
  <c r="K44" i="2" s="1"/>
  <c r="K19" i="2" l="1"/>
  <c r="N8" i="2"/>
  <c r="K51" i="2"/>
  <c r="K32" i="2"/>
  <c r="K28" i="2"/>
  <c r="N20" i="2"/>
  <c r="N16" i="2"/>
  <c r="N45" i="2"/>
  <c r="K12" i="2"/>
  <c r="N24" i="2"/>
  <c r="K25" i="2"/>
  <c r="N52" i="2"/>
  <c r="N5" i="2"/>
  <c r="N40" i="2"/>
  <c r="N29" i="2"/>
  <c r="K10" i="2"/>
  <c r="K42" i="2"/>
  <c r="N44" i="2"/>
  <c r="N11" i="2"/>
  <c r="N37" i="2"/>
  <c r="K30" i="2"/>
  <c r="K14" i="2"/>
  <c r="K47" i="2"/>
  <c r="K22" i="2"/>
  <c r="K49" i="2"/>
  <c r="K46" i="2"/>
  <c r="K36" i="2"/>
  <c r="N17" i="2"/>
  <c r="K2" i="2"/>
  <c r="N35" i="2"/>
  <c r="N34" i="2"/>
  <c r="K38" i="2"/>
  <c r="K33" i="2"/>
  <c r="K43" i="2"/>
  <c r="N26" i="2"/>
  <c r="N27" i="2"/>
  <c r="K41" i="2"/>
  <c r="N4" i="2"/>
  <c r="N39" i="2"/>
  <c r="K6" i="2"/>
  <c r="K31" i="2"/>
  <c r="N15" i="2"/>
  <c r="K9" i="2"/>
  <c r="K18" i="2"/>
  <c r="N48" i="2"/>
  <c r="K21" i="2"/>
  <c r="N23" i="2"/>
  <c r="N13" i="2"/>
  <c r="N50" i="2"/>
  <c r="N7" i="2"/>
  <c r="K3" i="2"/>
</calcChain>
</file>

<file path=xl/sharedStrings.xml><?xml version="1.0" encoding="utf-8"?>
<sst xmlns="http://schemas.openxmlformats.org/spreadsheetml/2006/main" count="585" uniqueCount="227">
  <si>
    <t>Dover District Council</t>
  </si>
  <si>
    <t>District</t>
  </si>
  <si>
    <t>Polling District</t>
  </si>
  <si>
    <t>Alkham</t>
  </si>
  <si>
    <t>PAK - Alkham</t>
  </si>
  <si>
    <t>Ash</t>
  </si>
  <si>
    <t>Aylesham</t>
  </si>
  <si>
    <t>Capel-Le-Ferne</t>
  </si>
  <si>
    <t>PCF - Capel-Le-Ferne</t>
  </si>
  <si>
    <t>Deal</t>
  </si>
  <si>
    <t>AMD1 - Middle Deal, Manor</t>
  </si>
  <si>
    <t>AMD2 - Middle Deal, Park</t>
  </si>
  <si>
    <t>AMD3 - Middle Deal, Upper</t>
  </si>
  <si>
    <t>AMH1 - Mill Hill, South</t>
  </si>
  <si>
    <t>AMH2 - Mill Hill, North</t>
  </si>
  <si>
    <t>AMH3 - Mill Hill, West</t>
  </si>
  <si>
    <t>AN1 - North Deal, Sandown</t>
  </si>
  <si>
    <t>AN2 - North Deal, St Andrew`s</t>
  </si>
  <si>
    <t>AN3 - North Deal, Victoria</t>
  </si>
  <si>
    <t>Denton with Wootton</t>
  </si>
  <si>
    <t>PDW - Wootton</t>
  </si>
  <si>
    <t>Dover</t>
  </si>
  <si>
    <t>BC1 - Buckland, North</t>
  </si>
  <si>
    <t>BC2 - Buckland, South</t>
  </si>
  <si>
    <t>BCW1 - Whitfield Rokesley</t>
  </si>
  <si>
    <t>BME - Maxton and Elms Vale</t>
  </si>
  <si>
    <t>BR1 - St Radigund`s, West</t>
  </si>
  <si>
    <t>BR2 - St Radigund`s, East</t>
  </si>
  <si>
    <t>BR3 - St Radigund`s, Town</t>
  </si>
  <si>
    <t>BT1 - Town and Castle, Priory</t>
  </si>
  <si>
    <t>BT2 - Town and Castle, Castle</t>
  </si>
  <si>
    <t>BT3 - Town and Castle, Aycliffe</t>
  </si>
  <si>
    <t>BT4 - Town and Castle, Redoubt</t>
  </si>
  <si>
    <t>BTH1 - Tower Hamlets, West</t>
  </si>
  <si>
    <t>BTH2 - Tower Hamlets, East</t>
  </si>
  <si>
    <t>Eastry</t>
  </si>
  <si>
    <t>PEA - Eastry</t>
  </si>
  <si>
    <t>Eythorne</t>
  </si>
  <si>
    <t>PEX1 - Eythorne</t>
  </si>
  <si>
    <t>PEX2 - Barfrestone</t>
  </si>
  <si>
    <t>PEX3 - Elvington</t>
  </si>
  <si>
    <t>Goodnestone</t>
  </si>
  <si>
    <t>Great Mongeham</t>
  </si>
  <si>
    <t>PGM - Great Mongeham</t>
  </si>
  <si>
    <t>Guston</t>
  </si>
  <si>
    <t>PGS - Guston</t>
  </si>
  <si>
    <t>Hougham Without</t>
  </si>
  <si>
    <t>PHM - Hougham Without</t>
  </si>
  <si>
    <t>Langdon</t>
  </si>
  <si>
    <t>PLG - Langdon</t>
  </si>
  <si>
    <t>Lydden</t>
  </si>
  <si>
    <t>PLN - Lydden</t>
  </si>
  <si>
    <t>Nonington</t>
  </si>
  <si>
    <t>PNN - Nonington</t>
  </si>
  <si>
    <t>Northbourne</t>
  </si>
  <si>
    <t>PNR - Northbourne</t>
  </si>
  <si>
    <t>Preston</t>
  </si>
  <si>
    <t>Ringwould with Kingsdown</t>
  </si>
  <si>
    <t>PRG - Ringwould, Ringwould</t>
  </si>
  <si>
    <t>PRK - Ringwould, Kingsdown</t>
  </si>
  <si>
    <t>Ripple</t>
  </si>
  <si>
    <t>PRP - Ripple</t>
  </si>
  <si>
    <t>River</t>
  </si>
  <si>
    <t>PRV - River</t>
  </si>
  <si>
    <t>Sandwich</t>
  </si>
  <si>
    <t>Shepherdswell with Coldred</t>
  </si>
  <si>
    <t>PSL1 - Shepherdswell</t>
  </si>
  <si>
    <t>PSL2 - Coldred</t>
  </si>
  <si>
    <t>Sholden</t>
  </si>
  <si>
    <t>PSHE - Eastry Rural, Sholden</t>
  </si>
  <si>
    <t>PSHM - Middle Deal, Hyton</t>
  </si>
  <si>
    <t>PSHN - North Deal, Tenants Hill</t>
  </si>
  <si>
    <t>St Margaret`s-At-Cliffe</t>
  </si>
  <si>
    <t>PSM - St Margaret`s-At-Cliffe</t>
  </si>
  <si>
    <t>Staple</t>
  </si>
  <si>
    <t>Stourmouth</t>
  </si>
  <si>
    <t>Sutton</t>
  </si>
  <si>
    <t>PSU - Sutton</t>
  </si>
  <si>
    <t>Temple Ewell</t>
  </si>
  <si>
    <t>PTE - Temple Ewell</t>
  </si>
  <si>
    <t>Tilmanstone</t>
  </si>
  <si>
    <t>PTI - Tilmanstone</t>
  </si>
  <si>
    <t>Walmer</t>
  </si>
  <si>
    <t>AW1 - Walmer, Upper Walmer</t>
  </si>
  <si>
    <t>AW2 - Walmer, Wellington</t>
  </si>
  <si>
    <t>AW3 - Walmer, St Saviour`s</t>
  </si>
  <si>
    <t>AW4N - North Deal, Gladstone</t>
  </si>
  <si>
    <t>Whitfield</t>
  </si>
  <si>
    <t>PWH1 - Whitfield, North</t>
  </si>
  <si>
    <t>PWH2 - Whitfield, South</t>
  </si>
  <si>
    <t>Wingham</t>
  </si>
  <si>
    <t>Woodnesborough</t>
  </si>
  <si>
    <t>Worth</t>
  </si>
  <si>
    <t xml:space="preserve">Parish (Parish Ward)
</t>
  </si>
  <si>
    <t>Deal (Middle Deal Ward)</t>
  </si>
  <si>
    <t>Deal (Mill Hill Ward)</t>
  </si>
  <si>
    <t>Deal (North Deal Ward)</t>
  </si>
  <si>
    <t>Dover (Buckland Ward)</t>
  </si>
  <si>
    <t>Dover (Maxton and Elms Vale Ward)</t>
  </si>
  <si>
    <t>Dover (Rokesley Ward)</t>
  </si>
  <si>
    <t>Dover (St Radigund`s Ward)</t>
  </si>
  <si>
    <t>Dover (Tower Hamlets Ward)</t>
  </si>
  <si>
    <t>Dover (Town and Castle Ward)</t>
  </si>
  <si>
    <t>Eythorne (Barfrestone Ward)</t>
  </si>
  <si>
    <t>Eythorne (Eythorne Ward)</t>
  </si>
  <si>
    <t>Sandwich (Sandwich North Ward)</t>
  </si>
  <si>
    <t>Sandwich (Sandwich South Ward)</t>
  </si>
  <si>
    <t>Shepherdswell with Coldred (Coldred Ward)</t>
  </si>
  <si>
    <t>Shepherdswell with Coldred (Shepherdswell Ward)</t>
  </si>
  <si>
    <t>Sholden (Hyton Ward)</t>
  </si>
  <si>
    <t>Sholden (Sholden Ward)</t>
  </si>
  <si>
    <t>Sholden (Tenants Hill Ward)</t>
  </si>
  <si>
    <t>Walmer (Gladstone Ward)</t>
  </si>
  <si>
    <t>Walmer (Lower Walmer, St Saviour`s Ward)</t>
  </si>
  <si>
    <t>Walmer (Lower Walmer, Wellington Ward)</t>
  </si>
  <si>
    <t>Walmer (Upper Walmer Ward)</t>
  </si>
  <si>
    <t>Worth (Sandwich Bay Ward)</t>
  </si>
  <si>
    <t>Worth (Worth Village Ward)</t>
  </si>
  <si>
    <t>Number of new dwellings due to be built by 2031</t>
  </si>
  <si>
    <t xml:space="preserve">Electorate estimate 2031 based on same % increase </t>
  </si>
  <si>
    <t>Current number of council seats</t>
  </si>
  <si>
    <t>Analysis Polling District with Areas for September 2025 Register</t>
  </si>
  <si>
    <t>Property</t>
  </si>
  <si>
    <t>Elector</t>
  </si>
  <si>
    <t>Average electors per property</t>
  </si>
  <si>
    <t>Parish Ward</t>
  </si>
  <si>
    <t>Parish</t>
  </si>
  <si>
    <t>County</t>
  </si>
  <si>
    <t>Parliamentary</t>
  </si>
  <si>
    <t>Middle Deal</t>
  </si>
  <si>
    <t>Deal &amp; Walmer</t>
  </si>
  <si>
    <t>Dover and Deal</t>
  </si>
  <si>
    <t>Mill Hill</t>
  </si>
  <si>
    <t>North Deal</t>
  </si>
  <si>
    <t>Buckland</t>
  </si>
  <si>
    <t>Dover Town</t>
  </si>
  <si>
    <t>Maxton and Elms Vale</t>
  </si>
  <si>
    <t>St Radigund`s</t>
  </si>
  <si>
    <t>Town and Castle</t>
  </si>
  <si>
    <t>Tower Hamlets</t>
  </si>
  <si>
    <t>&lt;None&gt;</t>
  </si>
  <si>
    <t>Alkham and Capel-le-Ferne</t>
  </si>
  <si>
    <t>Dover West</t>
  </si>
  <si>
    <t>PAY1 - Aylesham West</t>
  </si>
  <si>
    <t>Aylesham, Eythorne and Shepherdswell</t>
  </si>
  <si>
    <t>Dover North</t>
  </si>
  <si>
    <t>PAY2 - Aylesham East</t>
  </si>
  <si>
    <t>PDD - Denton</t>
  </si>
  <si>
    <t>Dover Downs and River</t>
  </si>
  <si>
    <t>Eastry Rural</t>
  </si>
  <si>
    <t>Guston, Kingsdown and St Margaret`s-at-Cliffe</t>
  </si>
  <si>
    <t>PWR - Eastry Rural, Worth Village</t>
  </si>
  <si>
    <t>XWR - Sandwich, Sandwich Bay</t>
  </si>
  <si>
    <t>Herne Bay and Sandwich</t>
  </si>
  <si>
    <t>XAS - Ash</t>
  </si>
  <si>
    <t>Little Stour and Ashstone</t>
  </si>
  <si>
    <t>XGD - Goodnestone</t>
  </si>
  <si>
    <t>XPR - Preston</t>
  </si>
  <si>
    <t>XSA - Sandwich, North</t>
  </si>
  <si>
    <t>XSB - Sandwich, South</t>
  </si>
  <si>
    <t>XSP - Staple</t>
  </si>
  <si>
    <t>XST - Stourmouth</t>
  </si>
  <si>
    <t>XWG - Wingham</t>
  </si>
  <si>
    <t>XWN - Woodnesborough</t>
  </si>
  <si>
    <t xml:space="preserve">Totals </t>
  </si>
  <si>
    <t>Expected electorate increase based on average per property per area</t>
  </si>
  <si>
    <t>2022-based subnational population projections [note 1] [note 2]</t>
  </si>
  <si>
    <t>Table 2: Local authorities and higher administrative areas within England</t>
  </si>
  <si>
    <t>5 year age groups, Persons</t>
  </si>
  <si>
    <t>CODE</t>
  </si>
  <si>
    <t>AREA</t>
  </si>
  <si>
    <t>AGE GROUP</t>
  </si>
  <si>
    <t>E07000108</t>
  </si>
  <si>
    <t>0-4</t>
  </si>
  <si>
    <t>5-9</t>
  </si>
  <si>
    <t>10-14</t>
  </si>
  <si>
    <t>15-19</t>
  </si>
  <si>
    <t>note 1</t>
  </si>
  <si>
    <t>These statistics are presented unrounded to allow user to do detailed calculations. However, this should not be taken to imply accuracy at this level.</t>
  </si>
  <si>
    <t>20-24</t>
  </si>
  <si>
    <t>25-29</t>
  </si>
  <si>
    <t>30-34</t>
  </si>
  <si>
    <t>35-39</t>
  </si>
  <si>
    <t>40-44</t>
  </si>
  <si>
    <t>note 2</t>
  </si>
  <si>
    <t>Figures in tables may not sum exactly due to rounding.</t>
  </si>
  <si>
    <t>45-49</t>
  </si>
  <si>
    <t>50-54</t>
  </si>
  <si>
    <t>55-59</t>
  </si>
  <si>
    <t>60-64</t>
  </si>
  <si>
    <t>65-69</t>
  </si>
  <si>
    <t>70-74</t>
  </si>
  <si>
    <t>75-79</t>
  </si>
  <si>
    <t>80-84</t>
  </si>
  <si>
    <t>85-89</t>
  </si>
  <si>
    <t>90+</t>
  </si>
  <si>
    <t>All ages</t>
  </si>
  <si>
    <t>https://www.ons.gov.uk/peoplepopulationandcommunity/populationandmigration/populationprojections/datasets/localauthoritiesinenglandtable2</t>
  </si>
  <si>
    <t>https://www.kent.gov.uk/about-the-council/information-and-data/facts-and-figures-about-kent/population-and-census/population-forecasts</t>
  </si>
  <si>
    <t>https://www.kent.gov.uk/__data/assets/pdf_file/0005/211649/KCC-housing-led-summary.pdf</t>
  </si>
  <si>
    <t>A population increase of 2000 (not electorate) forecast between 2026 and 2031, which equates to an increase of less than 2% over the whole of the Dover Local Authority Area.</t>
  </si>
  <si>
    <t>An increase of 4.05% (4331 electors) in voting age population (plus 15 year olds) between 2026 and 2031 over the whole local authority area</t>
  </si>
  <si>
    <t>ONS and KCC data covers the whole local authority area, rather than individual parishes and parish wards. Using these figures could potentially lead to over estimations in future electorate in many of the smaller parishes.</t>
  </si>
  <si>
    <r>
      <rPr>
        <sz val="12"/>
        <color rgb="FF000000"/>
        <rFont val="Aptos Display"/>
        <family val="2"/>
        <scheme val="major"/>
      </rPr>
      <t>The DDC figures are based upon this guidance for the whole area:</t>
    </r>
    <r>
      <rPr>
        <b/>
        <sz val="12"/>
        <color rgb="FF000000"/>
        <rFont val="Aptos Display"/>
        <family val="2"/>
        <scheme val="major"/>
      </rPr>
      <t xml:space="preserve">
From 'Electorate Forecasting' by LGBCE:</t>
    </r>
    <r>
      <rPr>
        <sz val="12"/>
        <color indexed="8"/>
        <rFont val="Aptos Display"/>
        <family val="2"/>
        <scheme val="major"/>
      </rPr>
      <t xml:space="preserve"> 
42. In wards which show electorate change unrelated to housing development, reflect this change in the forecast for the ward and smaller areas within it by continuing the recent past trend in electorate before applying the additional effect of the expected housing development:</t>
    </r>
  </si>
  <si>
    <t>Votes for 16 year olds should be coming into effect before the next Parliamentary Election due before August 2029. ONS &amp; KCC have this age range within their data because they deal with population rather than electorate - the DDC data does not include data for 16 year olds.</t>
  </si>
  <si>
    <t>Total estimated electorate by 2031
(Column F + Column H)</t>
  </si>
  <si>
    <t>Electors per Councillor (Column I figures for 2031 estimate)</t>
  </si>
  <si>
    <t>% increase from 2021 - 2026</t>
  </si>
  <si>
    <t>Electorate Feb 2026</t>
  </si>
  <si>
    <t>Electorate Feb 2021</t>
  </si>
  <si>
    <t>Total electorate: 1,979 = no more than 9 cllrs</t>
  </si>
  <si>
    <t xml:space="preserve">Total electorate: 1,660 = no more than 9 cllrs </t>
  </si>
  <si>
    <t xml:space="preserve">Total electorate: 6,624 = no more than 15 cllrs </t>
  </si>
  <si>
    <t xml:space="preserve">Total electorate: 806 = no more than 7 cllrs </t>
  </si>
  <si>
    <t xml:space="preserve">Total electorate: 22,490 = no more than 24 cllrs </t>
  </si>
  <si>
    <t xml:space="preserve">Expected house builds taken from the Planning document 'DDC Monitoring Return 24-25' issued November 2025. These figures are estimates, and are not guarenteed to be completed within the 5 year term. </t>
  </si>
  <si>
    <r>
      <t>Number of council seats recommended</t>
    </r>
    <r>
      <rPr>
        <b/>
        <sz val="18"/>
        <color rgb="FF000000"/>
        <rFont val="Aptos"/>
        <family val="2"/>
      </rPr>
      <t>*</t>
    </r>
    <r>
      <rPr>
        <sz val="14"/>
        <color rgb="FF000000"/>
        <rFont val="Aptos"/>
        <family val="2"/>
      </rPr>
      <t xml:space="preserve">  (figure in </t>
    </r>
    <r>
      <rPr>
        <sz val="14"/>
        <color rgb="FFFF0000"/>
        <rFont val="Aptos"/>
        <family val="2"/>
      </rPr>
      <t>red</t>
    </r>
    <r>
      <rPr>
        <sz val="14"/>
        <color rgb="FF000000"/>
        <rFont val="Aptos"/>
        <family val="2"/>
      </rPr>
      <t xml:space="preserve"> if different from current figure)</t>
    </r>
  </si>
  <si>
    <t xml:space="preserve">Electors </t>
  </si>
  <si>
    <t xml:space="preserve">Councillors </t>
  </si>
  <si>
    <t>Up to          900</t>
  </si>
  <si>
    <t>Electorate estimate for 2031 for whole council = total number of recommended councillors (cllrs) to be divided between the wards of the parish for best equality of electors per councilor.</t>
  </si>
  <si>
    <t>Up to          10,400</t>
  </si>
  <si>
    <r>
      <rPr>
        <b/>
        <sz val="18"/>
        <color rgb="FF000000"/>
        <rFont val="Aptos"/>
        <family val="2"/>
      </rPr>
      <t>*</t>
    </r>
    <r>
      <rPr>
        <sz val="14"/>
        <color indexed="8"/>
        <rFont val="Aptos"/>
        <family val="2"/>
      </rPr>
      <t>The National Association of Local Councils (NALC) published guidance on the suggested number of councillors to be allocated depending on the size of the electorate. 
(see table below). They recommend the minimum number of councillors should be 7 and the maximum 25.
 The recommended councillor numbers below are for whole council electorates. Where a town or parish is warded, the total recommended number is expected to be divided between the wards to give the best possible equality of electors per councillor.</t>
    </r>
  </si>
  <si>
    <t xml:space="preserve">over            23,000 </t>
  </si>
  <si>
    <t xml:space="preserve">Total electorate: 2,009 = no more than 10 cllrs </t>
  </si>
  <si>
    <t xml:space="preserve">Total electorate: 5,136 = no more than 13 cllrs </t>
  </si>
  <si>
    <t xml:space="preserve">Total electorate: 16,622 = no more than 21 cllrs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</si>
</sst>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indexed="8"/>
      <name val="ARIAL"/>
      <charset val="1"/>
    </font>
    <font>
      <sz val="10"/>
      <color indexed="8"/>
      <name val="ARIAL"/>
      <charset val="1"/>
    </font>
    <font>
      <sz val="14"/>
      <color rgb="FF000000"/>
      <name val="Aptos"/>
      <family val="2"/>
    </font>
    <font>
      <sz val="14"/>
      <color theme="1"/>
      <name val="Aptos"/>
      <family val="2"/>
    </font>
    <font>
      <sz val="14"/>
      <color theme="0"/>
      <name val="Aptos"/>
      <family val="2"/>
    </font>
    <font>
      <sz val="14"/>
      <color rgb="FFFF0000"/>
      <name val="Aptos"/>
      <family val="2"/>
    </font>
    <font>
      <b/>
      <sz val="14"/>
      <color indexed="8"/>
      <name val="Arial"/>
      <family val="2"/>
    </font>
    <font>
      <b/>
      <sz val="10"/>
      <color indexed="8"/>
      <name val="ARIAL"/>
      <family val="2"/>
    </font>
    <font>
      <b/>
      <sz val="12"/>
      <color indexed="9"/>
      <name val="Arial"/>
      <family val="2"/>
    </font>
    <font>
      <b/>
      <sz val="9"/>
      <color indexed="8"/>
      <name val="ARIAL"/>
      <family val="2"/>
    </font>
    <font>
      <sz val="10"/>
      <color indexed="8"/>
      <name val="Arial"/>
      <family val="2"/>
    </font>
    <font>
      <u/>
      <sz val="10"/>
      <color theme="10"/>
      <name val="Arial"/>
      <family val="2"/>
    </font>
    <font>
      <b/>
      <sz val="11"/>
      <color indexed="8"/>
      <name val="Arial"/>
      <family val="2"/>
    </font>
    <font>
      <sz val="11"/>
      <color indexed="8"/>
      <name val="Arial"/>
      <family val="2"/>
    </font>
    <font>
      <b/>
      <sz val="12"/>
      <color theme="1"/>
      <name val="Aptos Narrow"/>
      <family val="2"/>
      <scheme val="minor"/>
    </font>
    <font>
      <sz val="14"/>
      <color theme="1"/>
      <name val="Aptos Narrow"/>
      <family val="2"/>
      <scheme val="minor"/>
    </font>
    <font>
      <sz val="12"/>
      <color indexed="8"/>
      <name val="Aptos Display"/>
      <family val="2"/>
      <scheme val="major"/>
    </font>
    <font>
      <b/>
      <sz val="12"/>
      <color rgb="FF000000"/>
      <name val="Aptos Display"/>
      <family val="2"/>
      <scheme val="major"/>
    </font>
    <font>
      <sz val="12"/>
      <color rgb="FF000000"/>
      <name val="Aptos Display"/>
      <family val="2"/>
      <scheme val="major"/>
    </font>
    <font>
      <b/>
      <sz val="14"/>
      <color rgb="FF000000"/>
      <name val="Aptos"/>
      <family val="2"/>
    </font>
    <font>
      <b/>
      <sz val="18"/>
      <color rgb="FF000000"/>
      <name val="Aptos"/>
      <family val="2"/>
    </font>
    <font>
      <b/>
      <sz val="18"/>
      <color theme="1"/>
      <name val="Aptos"/>
      <family val="2"/>
    </font>
    <font>
      <b/>
      <sz val="14"/>
      <color theme="1"/>
      <name val="Aptos"/>
      <family val="2"/>
    </font>
    <font>
      <b/>
      <sz val="14"/>
      <color rgb="FFFF0000"/>
      <name val="Aptos"/>
      <family val="2"/>
    </font>
    <font>
      <sz val="12"/>
      <color indexed="8"/>
      <name val="Aptos"/>
      <family val="2"/>
    </font>
    <font>
      <b/>
      <sz val="12"/>
      <color indexed="8"/>
      <name val="Aptos"/>
      <family val="2"/>
    </font>
    <font>
      <b/>
      <sz val="12"/>
      <color rgb="FF000000"/>
      <name val="Aptos"/>
      <family val="2"/>
    </font>
    <font>
      <sz val="12"/>
      <color rgb="FF000000"/>
      <name val="Aptos"/>
      <family val="2"/>
    </font>
    <font>
      <sz val="14"/>
      <color indexed="8"/>
      <name val="Aptos"/>
      <family val="2"/>
    </font>
  </fonts>
  <fills count="10">
    <fill>
      <patternFill patternType="none"/>
    </fill>
    <fill>
      <patternFill patternType="gray125"/>
    </fill>
    <fill>
      <patternFill patternType="solid">
        <fgColor indexed="8"/>
        <bgColor indexed="8"/>
      </patternFill>
    </fill>
    <fill>
      <patternFill patternType="solid">
        <fgColor rgb="FFD3D3D3"/>
      </patternFill>
    </fill>
    <fill>
      <patternFill patternType="solid">
        <fgColor rgb="FFFFFFFF"/>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D9D9D9"/>
        <bgColor indexed="64"/>
      </patternFill>
    </fill>
    <fill>
      <patternFill patternType="solid">
        <fgColor rgb="FFF2F2F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alignment vertical="top"/>
    </xf>
    <xf numFmtId="9" fontId="1" fillId="0" borderId="0" applyFont="0" applyFill="0" applyBorder="0" applyAlignment="0" applyProtection="0"/>
    <xf numFmtId="0" fontId="11" fillId="0" borderId="0" applyNumberFormat="0" applyFill="0" applyBorder="0" applyAlignment="0" applyProtection="0">
      <alignment vertical="top"/>
    </xf>
  </cellStyleXfs>
  <cellXfs count="133">
    <xf numFmtId="0" fontId="0" fillId="0" borderId="0" xfId="0">
      <alignment vertical="top"/>
    </xf>
    <xf numFmtId="3" fontId="1" fillId="0" borderId="0" xfId="0" applyNumberFormat="1" applyFont="1" applyAlignment="1">
      <alignment horizontal="right" vertical="top" wrapText="1"/>
    </xf>
    <xf numFmtId="0" fontId="1" fillId="0" borderId="0" xfId="0" applyFont="1" applyAlignment="1">
      <alignment vertical="top" wrapText="1"/>
    </xf>
    <xf numFmtId="0" fontId="3" fillId="0" borderId="0" xfId="0" applyFont="1" applyAlignment="1">
      <alignment wrapText="1"/>
    </xf>
    <xf numFmtId="0" fontId="3" fillId="0" borderId="0" xfId="0" applyFont="1" applyAlignment="1"/>
    <xf numFmtId="3" fontId="0" fillId="0" borderId="0" xfId="0" applyNumberFormat="1">
      <alignment vertical="top"/>
    </xf>
    <xf numFmtId="0" fontId="3" fillId="0" borderId="2" xfId="0" applyFont="1" applyBorder="1" applyAlignment="1"/>
    <xf numFmtId="0" fontId="3" fillId="0" borderId="3" xfId="0" applyFont="1" applyBorder="1" applyAlignment="1"/>
    <xf numFmtId="0" fontId="4" fillId="0" borderId="3" xfId="0" applyFont="1" applyBorder="1" applyAlignment="1"/>
    <xf numFmtId="49" fontId="3" fillId="4" borderId="1" xfId="0" applyNumberFormat="1" applyFont="1" applyFill="1" applyBorder="1" applyAlignment="1">
      <alignment horizontal="left" vertical="center" wrapText="1" readingOrder="1"/>
    </xf>
    <xf numFmtId="0" fontId="2" fillId="4" borderId="1" xfId="0" applyFont="1" applyFill="1" applyBorder="1" applyAlignment="1">
      <alignment horizontal="right" vertical="center" readingOrder="1"/>
    </xf>
    <xf numFmtId="3" fontId="4" fillId="4" borderId="1" xfId="1" applyNumberFormat="1" applyFont="1" applyFill="1" applyBorder="1" applyAlignment="1">
      <alignment horizontal="right" vertical="center" readingOrder="1"/>
    </xf>
    <xf numFmtId="9" fontId="2" fillId="4" borderId="1" xfId="1" applyFont="1" applyFill="1" applyBorder="1" applyAlignment="1">
      <alignment horizontal="right" vertical="center" readingOrder="1"/>
    </xf>
    <xf numFmtId="3" fontId="2" fillId="4" borderId="1" xfId="0" applyNumberFormat="1" applyFont="1" applyFill="1" applyBorder="1" applyAlignment="1">
      <alignment horizontal="right" vertical="center" readingOrder="1"/>
    </xf>
    <xf numFmtId="0" fontId="2" fillId="4" borderId="1" xfId="0" applyFont="1" applyFill="1" applyBorder="1" applyAlignment="1">
      <alignment horizontal="center" vertical="center" readingOrder="1"/>
    </xf>
    <xf numFmtId="3" fontId="2" fillId="4" borderId="1" xfId="0" applyNumberFormat="1" applyFont="1" applyFill="1" applyBorder="1" applyAlignment="1">
      <alignment horizontal="center" vertical="center" readingOrder="1"/>
    </xf>
    <xf numFmtId="0" fontId="6" fillId="0" borderId="0" xfId="0" applyFont="1" applyAlignment="1">
      <alignment vertical="top" wrapText="1"/>
    </xf>
    <xf numFmtId="0" fontId="6" fillId="0" borderId="0" xfId="0" applyFont="1" applyAlignment="1">
      <alignment horizontal="center" vertical="top" wrapText="1"/>
    </xf>
    <xf numFmtId="4" fontId="6" fillId="0" borderId="0" xfId="0" applyNumberFormat="1" applyFont="1" applyAlignment="1">
      <alignment horizontal="center" vertical="top" wrapText="1"/>
    </xf>
    <xf numFmtId="0" fontId="0" fillId="0" borderId="0" xfId="0" applyAlignment="1">
      <alignment horizontal="center" vertical="top"/>
    </xf>
    <xf numFmtId="4" fontId="7" fillId="0" borderId="0" xfId="0" applyNumberFormat="1" applyFont="1" applyAlignment="1">
      <alignment horizontal="center" vertical="top"/>
    </xf>
    <xf numFmtId="0" fontId="8" fillId="2" borderId="0" xfId="0" applyFont="1" applyFill="1" applyAlignment="1">
      <alignment vertical="top" wrapText="1"/>
    </xf>
    <xf numFmtId="0" fontId="8" fillId="2" borderId="0" xfId="0" applyFont="1" applyFill="1" applyAlignment="1">
      <alignment horizontal="center" vertical="top" wrapText="1"/>
    </xf>
    <xf numFmtId="4" fontId="8" fillId="2" borderId="0" xfId="0" applyNumberFormat="1" applyFont="1" applyFill="1" applyAlignment="1">
      <alignment horizontal="center" vertical="top" wrapText="1"/>
    </xf>
    <xf numFmtId="0" fontId="0" fillId="0" borderId="1" xfId="0" applyBorder="1">
      <alignment vertical="top"/>
    </xf>
    <xf numFmtId="0" fontId="0" fillId="0" borderId="1" xfId="0" applyBorder="1" applyAlignment="1">
      <alignment horizontal="center" vertical="top"/>
    </xf>
    <xf numFmtId="4" fontId="7" fillId="0" borderId="1" xfId="0" applyNumberFormat="1" applyFont="1" applyBorder="1" applyAlignment="1">
      <alignment horizontal="center" vertical="top"/>
    </xf>
    <xf numFmtId="0" fontId="9" fillId="6" borderId="1" xfId="0" applyFont="1" applyFill="1" applyBorder="1" applyAlignment="1">
      <alignment vertical="top" wrapText="1" readingOrder="1"/>
    </xf>
    <xf numFmtId="0" fontId="9" fillId="6" borderId="1" xfId="0" applyFont="1" applyFill="1" applyBorder="1" applyAlignment="1">
      <alignment horizontal="right" vertical="top" wrapText="1" readingOrder="1"/>
    </xf>
    <xf numFmtId="0" fontId="9" fillId="6" borderId="1" xfId="0" applyFont="1" applyFill="1" applyBorder="1" applyAlignment="1">
      <alignment horizontal="center" vertical="top" wrapText="1" readingOrder="1"/>
    </xf>
    <xf numFmtId="4" fontId="9" fillId="6" borderId="1" xfId="0" applyNumberFormat="1" applyFont="1" applyFill="1" applyBorder="1" applyAlignment="1">
      <alignment horizontal="center" vertical="top" wrapText="1" readingOrder="1"/>
    </xf>
    <xf numFmtId="0" fontId="7" fillId="6" borderId="1" xfId="0" applyFont="1" applyFill="1" applyBorder="1" applyAlignment="1">
      <alignment horizontal="left" vertical="top" wrapText="1"/>
    </xf>
    <xf numFmtId="0" fontId="7" fillId="6" borderId="1" xfId="0" applyFont="1" applyFill="1" applyBorder="1" applyAlignment="1">
      <alignment vertical="top" wrapText="1"/>
    </xf>
    <xf numFmtId="0" fontId="7" fillId="0" borderId="0" xfId="0" applyFont="1">
      <alignment vertical="top"/>
    </xf>
    <xf numFmtId="0" fontId="10" fillId="0" borderId="1" xfId="0" applyFont="1" applyBorder="1" applyAlignment="1">
      <alignment vertical="top" wrapText="1"/>
    </xf>
    <xf numFmtId="3" fontId="10" fillId="0" borderId="1" xfId="0" applyNumberFormat="1" applyFont="1" applyBorder="1" applyAlignment="1">
      <alignment horizontal="right" vertical="top" wrapText="1"/>
    </xf>
    <xf numFmtId="3" fontId="10" fillId="0" borderId="1" xfId="0" applyNumberFormat="1" applyFont="1" applyBorder="1" applyAlignment="1">
      <alignment horizontal="center" vertical="top" wrapText="1"/>
    </xf>
    <xf numFmtId="4" fontId="7" fillId="0" borderId="1" xfId="0" applyNumberFormat="1" applyFont="1" applyBorder="1" applyAlignment="1">
      <alignment horizontal="center" vertical="top" wrapText="1"/>
    </xf>
    <xf numFmtId="0" fontId="10" fillId="0" borderId="1" xfId="0" applyFont="1" applyBorder="1" applyAlignment="1">
      <alignment vertical="top" wrapText="1" readingOrder="1"/>
    </xf>
    <xf numFmtId="0" fontId="10" fillId="0" borderId="1" xfId="0" applyFont="1" applyBorder="1" applyAlignment="1">
      <alignment horizontal="left" vertical="top" wrapText="1"/>
    </xf>
    <xf numFmtId="3" fontId="7" fillId="0" borderId="1" xfId="0" applyNumberFormat="1" applyFont="1" applyBorder="1">
      <alignment vertical="top"/>
    </xf>
    <xf numFmtId="3" fontId="7" fillId="0" borderId="1" xfId="0" applyNumberFormat="1" applyFont="1" applyBorder="1" applyAlignment="1">
      <alignment horizontal="center" vertical="top"/>
    </xf>
    <xf numFmtId="0" fontId="7" fillId="0" borderId="1" xfId="0" applyFont="1" applyBorder="1">
      <alignment vertical="top"/>
    </xf>
    <xf numFmtId="3" fontId="7" fillId="0" borderId="1" xfId="0" applyNumberFormat="1" applyFont="1" applyBorder="1" applyAlignment="1">
      <alignment horizontal="right" vertical="top" wrapText="1"/>
    </xf>
    <xf numFmtId="3" fontId="7" fillId="0" borderId="1" xfId="0" applyNumberFormat="1" applyFont="1" applyBorder="1" applyAlignment="1">
      <alignment horizontal="center" vertical="top" wrapText="1"/>
    </xf>
    <xf numFmtId="0" fontId="7" fillId="0" borderId="1" xfId="0" applyFont="1" applyBorder="1" applyAlignment="1">
      <alignment horizontal="center" vertical="top"/>
    </xf>
    <xf numFmtId="0" fontId="9" fillId="0" borderId="0" xfId="0" applyFont="1" applyAlignment="1">
      <alignment vertical="top" wrapText="1" readingOrder="1"/>
    </xf>
    <xf numFmtId="3" fontId="7" fillId="0" borderId="0" xfId="0" applyNumberFormat="1" applyFont="1" applyAlignment="1">
      <alignment horizontal="center" vertical="center" wrapText="1"/>
    </xf>
    <xf numFmtId="4" fontId="7" fillId="0" borderId="0" xfId="0" applyNumberFormat="1" applyFont="1" applyAlignment="1">
      <alignment horizontal="center" vertical="center" wrapText="1"/>
    </xf>
    <xf numFmtId="14" fontId="10" fillId="0" borderId="0" xfId="0" applyNumberFormat="1" applyFont="1" applyAlignment="1">
      <alignment horizontal="left" vertical="top" wrapText="1"/>
    </xf>
    <xf numFmtId="0" fontId="10" fillId="0" borderId="0" xfId="0" applyFont="1" applyAlignment="1">
      <alignment vertical="top" wrapText="1"/>
    </xf>
    <xf numFmtId="0" fontId="10" fillId="0" borderId="0" xfId="0" applyFont="1" applyAlignment="1">
      <alignment horizontal="center" vertical="top" wrapText="1"/>
    </xf>
    <xf numFmtId="4" fontId="7" fillId="0" borderId="0" xfId="0" applyNumberFormat="1" applyFont="1" applyAlignment="1">
      <alignment horizontal="center" vertical="top" wrapText="1"/>
    </xf>
    <xf numFmtId="0" fontId="0" fillId="0" borderId="0" xfId="0" applyAlignment="1">
      <alignment vertical="top" wrapText="1"/>
    </xf>
    <xf numFmtId="0" fontId="12" fillId="0" borderId="0" xfId="0" applyFont="1" applyAlignment="1"/>
    <xf numFmtId="0" fontId="0" fillId="0" borderId="0" xfId="0" applyAlignment="1"/>
    <xf numFmtId="0" fontId="12" fillId="0" borderId="0" xfId="0" applyFont="1" applyAlignment="1">
      <alignment horizontal="left" wrapText="1"/>
    </xf>
    <xf numFmtId="0" fontId="12" fillId="0" borderId="0" xfId="0" applyFont="1" applyAlignment="1">
      <alignment horizontal="right" wrapText="1"/>
    </xf>
    <xf numFmtId="49" fontId="13" fillId="0" borderId="0" xfId="0" applyNumberFormat="1" applyFont="1" applyAlignment="1">
      <alignment horizontal="left" wrapText="1"/>
    </xf>
    <xf numFmtId="3" fontId="13" fillId="0" borderId="0" xfId="0" applyNumberFormat="1" applyFont="1" applyAlignment="1">
      <alignment horizontal="right" wrapText="1"/>
    </xf>
    <xf numFmtId="49" fontId="13" fillId="7" borderId="0" xfId="0" applyNumberFormat="1" applyFont="1" applyFill="1" applyAlignment="1">
      <alignment horizontal="left" wrapText="1"/>
    </xf>
    <xf numFmtId="3" fontId="13" fillId="7" borderId="0" xfId="0" applyNumberFormat="1" applyFont="1" applyFill="1" applyAlignment="1">
      <alignment horizontal="right" wrapText="1"/>
    </xf>
    <xf numFmtId="3" fontId="14" fillId="7" borderId="0" xfId="0" applyNumberFormat="1" applyFont="1" applyFill="1" applyAlignment="1"/>
    <xf numFmtId="3" fontId="0" fillId="0" borderId="0" xfId="0" applyNumberFormat="1" applyAlignment="1"/>
    <xf numFmtId="0" fontId="11" fillId="0" borderId="0" xfId="2" applyAlignment="1"/>
    <xf numFmtId="0" fontId="0" fillId="0" borderId="0" xfId="0" applyAlignment="1">
      <alignment vertical="center"/>
    </xf>
    <xf numFmtId="3" fontId="15" fillId="0" borderId="0" xfId="0" applyNumberFormat="1" applyFont="1" applyAlignment="1"/>
    <xf numFmtId="0" fontId="16" fillId="0" borderId="0" xfId="0" applyFont="1">
      <alignment vertical="top"/>
    </xf>
    <xf numFmtId="0" fontId="23" fillId="4" borderId="1" xfId="0" applyFont="1" applyFill="1" applyBorder="1" applyAlignment="1">
      <alignment horizontal="center" vertical="center" readingOrder="1"/>
    </xf>
    <xf numFmtId="0" fontId="22" fillId="4" borderId="1" xfId="0" applyFont="1" applyFill="1" applyBorder="1" applyAlignment="1">
      <alignment horizontal="center" vertical="center" readingOrder="1"/>
    </xf>
    <xf numFmtId="49" fontId="2" fillId="3" borderId="4" xfId="0" applyNumberFormat="1" applyFont="1" applyFill="1" applyBorder="1" applyAlignment="1">
      <alignment horizontal="center" vertical="center" wrapText="1" readingOrder="1"/>
    </xf>
    <xf numFmtId="49" fontId="4" fillId="5" borderId="4" xfId="0" applyNumberFormat="1" applyFont="1" applyFill="1" applyBorder="1" applyAlignment="1">
      <alignment horizontal="center" vertical="center" wrapText="1" readingOrder="1"/>
    </xf>
    <xf numFmtId="49" fontId="3" fillId="4" borderId="6" xfId="0" applyNumberFormat="1" applyFont="1" applyFill="1" applyBorder="1" applyAlignment="1">
      <alignment horizontal="left" vertical="center" wrapText="1" readingOrder="1"/>
    </xf>
    <xf numFmtId="0" fontId="2" fillId="4" borderId="6" xfId="0" applyFont="1" applyFill="1" applyBorder="1" applyAlignment="1">
      <alignment horizontal="right" vertical="center" readingOrder="1"/>
    </xf>
    <xf numFmtId="3" fontId="4" fillId="4" borderId="6" xfId="1" applyNumberFormat="1" applyFont="1" applyFill="1" applyBorder="1" applyAlignment="1">
      <alignment horizontal="right" vertical="center" readingOrder="1"/>
    </xf>
    <xf numFmtId="9" fontId="2" fillId="4" borderId="6" xfId="1" applyFont="1" applyFill="1" applyBorder="1" applyAlignment="1">
      <alignment horizontal="right" vertical="center" readingOrder="1"/>
    </xf>
    <xf numFmtId="3" fontId="2" fillId="4" borderId="6" xfId="0" applyNumberFormat="1" applyFont="1" applyFill="1" applyBorder="1" applyAlignment="1">
      <alignment horizontal="right" vertical="center" readingOrder="1"/>
    </xf>
    <xf numFmtId="3" fontId="2" fillId="4" borderId="6" xfId="0" applyNumberFormat="1" applyFont="1" applyFill="1" applyBorder="1" applyAlignment="1">
      <alignment horizontal="center" vertical="center" readingOrder="1"/>
    </xf>
    <xf numFmtId="0" fontId="2" fillId="4" borderId="6" xfId="0" applyFont="1" applyFill="1" applyBorder="1" applyAlignment="1">
      <alignment horizontal="center" vertical="center" readingOrder="1"/>
    </xf>
    <xf numFmtId="0" fontId="3" fillId="4" borderId="6" xfId="0" applyFont="1" applyFill="1" applyBorder="1" applyAlignment="1">
      <alignment horizontal="center" vertical="center" readingOrder="1"/>
    </xf>
    <xf numFmtId="0" fontId="5" fillId="4" borderId="6" xfId="0" applyFont="1" applyFill="1" applyBorder="1" applyAlignment="1">
      <alignment horizontal="center" vertical="center" readingOrder="1"/>
    </xf>
    <xf numFmtId="49" fontId="3" fillId="4" borderId="7" xfId="0" applyNumberFormat="1" applyFont="1" applyFill="1" applyBorder="1" applyAlignment="1">
      <alignment horizontal="left" vertical="center" wrapText="1" readingOrder="1"/>
    </xf>
    <xf numFmtId="0" fontId="2" fillId="4" borderId="7" xfId="0" applyFont="1" applyFill="1" applyBorder="1" applyAlignment="1">
      <alignment horizontal="right" vertical="center" readingOrder="1"/>
    </xf>
    <xf numFmtId="3" fontId="4" fillId="4" borderId="7" xfId="1" applyNumberFormat="1" applyFont="1" applyFill="1" applyBorder="1" applyAlignment="1">
      <alignment horizontal="right" vertical="center" readingOrder="1"/>
    </xf>
    <xf numFmtId="9" fontId="2" fillId="4" borderId="7" xfId="1" applyFont="1" applyFill="1" applyBorder="1" applyAlignment="1">
      <alignment horizontal="right" vertical="center" readingOrder="1"/>
    </xf>
    <xf numFmtId="3" fontId="2" fillId="4" borderId="7" xfId="0" applyNumberFormat="1" applyFont="1" applyFill="1" applyBorder="1" applyAlignment="1">
      <alignment horizontal="right" vertical="center" readingOrder="1"/>
    </xf>
    <xf numFmtId="3" fontId="2" fillId="4" borderId="7" xfId="0" applyNumberFormat="1" applyFont="1" applyFill="1" applyBorder="1" applyAlignment="1">
      <alignment horizontal="center" vertical="center" readingOrder="1"/>
    </xf>
    <xf numFmtId="0" fontId="2" fillId="4" borderId="7" xfId="0" applyFont="1" applyFill="1" applyBorder="1" applyAlignment="1">
      <alignment horizontal="center" vertical="center" readingOrder="1"/>
    </xf>
    <xf numFmtId="0" fontId="23" fillId="4" borderId="7" xfId="0" applyFont="1" applyFill="1" applyBorder="1" applyAlignment="1">
      <alignment horizontal="center" vertical="center" readingOrder="1"/>
    </xf>
    <xf numFmtId="49" fontId="3" fillId="4" borderId="9" xfId="0" applyNumberFormat="1" applyFont="1" applyFill="1" applyBorder="1" applyAlignment="1">
      <alignment horizontal="left" vertical="center" wrapText="1" readingOrder="1"/>
    </xf>
    <xf numFmtId="0" fontId="2" fillId="4" borderId="9" xfId="0" applyFont="1" applyFill="1" applyBorder="1" applyAlignment="1">
      <alignment horizontal="right" vertical="center" readingOrder="1"/>
    </xf>
    <xf numFmtId="3" fontId="4" fillId="4" borderId="9" xfId="1" applyNumberFormat="1" applyFont="1" applyFill="1" applyBorder="1" applyAlignment="1">
      <alignment horizontal="right" vertical="center" readingOrder="1"/>
    </xf>
    <xf numFmtId="9" fontId="2" fillId="4" borderId="9" xfId="1" applyFont="1" applyFill="1" applyBorder="1" applyAlignment="1">
      <alignment horizontal="right" vertical="center" readingOrder="1"/>
    </xf>
    <xf numFmtId="3" fontId="2" fillId="4" borderId="9" xfId="0" applyNumberFormat="1" applyFont="1" applyFill="1" applyBorder="1" applyAlignment="1">
      <alignment horizontal="right" vertical="center" readingOrder="1"/>
    </xf>
    <xf numFmtId="3" fontId="2" fillId="4" borderId="9" xfId="0" applyNumberFormat="1" applyFont="1" applyFill="1" applyBorder="1" applyAlignment="1">
      <alignment horizontal="center" vertical="center" readingOrder="1"/>
    </xf>
    <xf numFmtId="0" fontId="2" fillId="4" borderId="9" xfId="0" applyFont="1" applyFill="1" applyBorder="1" applyAlignment="1">
      <alignment horizontal="center" vertical="center" readingOrder="1"/>
    </xf>
    <xf numFmtId="0" fontId="23" fillId="4" borderId="9" xfId="0" applyFont="1" applyFill="1" applyBorder="1" applyAlignment="1">
      <alignment horizontal="center" vertical="center" readingOrder="1"/>
    </xf>
    <xf numFmtId="0" fontId="19" fillId="4" borderId="7" xfId="0" applyFont="1" applyFill="1" applyBorder="1" applyAlignment="1">
      <alignment horizontal="center" vertical="center" readingOrder="1"/>
    </xf>
    <xf numFmtId="0" fontId="22" fillId="4" borderId="9" xfId="0" applyFont="1" applyFill="1" applyBorder="1" applyAlignment="1">
      <alignment horizontal="center" vertical="center" readingOrder="1"/>
    </xf>
    <xf numFmtId="0" fontId="22" fillId="4" borderId="7" xfId="0" applyFont="1" applyFill="1" applyBorder="1" applyAlignment="1">
      <alignment horizontal="center" vertical="center" readingOrder="1"/>
    </xf>
    <xf numFmtId="0" fontId="25" fillId="0" borderId="0" xfId="0" applyFont="1" applyAlignment="1">
      <alignment vertical="center" wrapText="1"/>
    </xf>
    <xf numFmtId="0" fontId="24" fillId="0" borderId="0" xfId="0" applyFont="1" applyAlignment="1">
      <alignment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3" fontId="27" fillId="9" borderId="1" xfId="0" applyNumberFormat="1" applyFont="1" applyFill="1" applyBorder="1" applyAlignment="1">
      <alignment vertical="center" wrapText="1"/>
    </xf>
    <xf numFmtId="0" fontId="27" fillId="9" borderId="1" xfId="0" applyFont="1" applyFill="1" applyBorder="1" applyAlignment="1">
      <alignment horizontal="center" vertical="center" wrapText="1"/>
    </xf>
    <xf numFmtId="3" fontId="24" fillId="0" borderId="1" xfId="0" applyNumberFormat="1" applyFont="1" applyBorder="1" applyAlignment="1">
      <alignment vertical="center" wrapText="1"/>
    </xf>
    <xf numFmtId="0" fontId="26" fillId="8" borderId="11" xfId="0" applyFont="1" applyFill="1" applyBorder="1" applyAlignment="1">
      <alignment vertical="center" wrapText="1"/>
    </xf>
    <xf numFmtId="0" fontId="25" fillId="0" borderId="11" xfId="0" applyFont="1" applyBorder="1" applyAlignment="1">
      <alignment vertical="center" wrapText="1"/>
    </xf>
    <xf numFmtId="0" fontId="21" fillId="0" borderId="0" xfId="0" applyFont="1">
      <alignment vertical="top"/>
    </xf>
    <xf numFmtId="3" fontId="19" fillId="4" borderId="8" xfId="0" applyNumberFormat="1" applyFont="1" applyFill="1" applyBorder="1" applyAlignment="1">
      <alignment horizontal="center" vertical="center" wrapText="1" readingOrder="1"/>
    </xf>
    <xf numFmtId="3" fontId="19" fillId="4" borderId="10" xfId="0" applyNumberFormat="1" applyFont="1" applyFill="1" applyBorder="1" applyAlignment="1">
      <alignment horizontal="center" vertical="center" wrapText="1" readingOrder="1"/>
    </xf>
    <xf numFmtId="3" fontId="2" fillId="4" borderId="8" xfId="0" applyNumberFormat="1" applyFont="1" applyFill="1" applyBorder="1" applyAlignment="1">
      <alignment horizontal="center" vertical="center" readingOrder="1"/>
    </xf>
    <xf numFmtId="3" fontId="2" fillId="4" borderId="5" xfId="0" applyNumberFormat="1" applyFont="1" applyFill="1" applyBorder="1" applyAlignment="1">
      <alignment horizontal="center" vertical="center" readingOrder="1"/>
    </xf>
    <xf numFmtId="3" fontId="2" fillId="4" borderId="10" xfId="0" applyNumberFormat="1" applyFont="1" applyFill="1" applyBorder="1" applyAlignment="1">
      <alignment horizontal="center" vertical="center" readingOrder="1"/>
    </xf>
    <xf numFmtId="3" fontId="19" fillId="4" borderId="5" xfId="0" applyNumberFormat="1" applyFont="1" applyFill="1" applyBorder="1" applyAlignment="1">
      <alignment horizontal="center" vertical="center" wrapText="1" readingOrder="1"/>
    </xf>
    <xf numFmtId="0" fontId="24" fillId="0" borderId="0" xfId="0" applyFont="1" applyAlignment="1">
      <alignment horizontal="center" vertical="center" wrapText="1"/>
    </xf>
    <xf numFmtId="0" fontId="24" fillId="0" borderId="0" xfId="0" applyFont="1" applyAlignment="1">
      <alignment vertical="center" wrapText="1"/>
    </xf>
    <xf numFmtId="0" fontId="28" fillId="6" borderId="1" xfId="0" applyFont="1" applyFill="1" applyBorder="1" applyAlignment="1">
      <alignment horizontal="center" vertical="center" wrapText="1"/>
    </xf>
    <xf numFmtId="3" fontId="27" fillId="9" borderId="1" xfId="0" applyNumberFormat="1" applyFont="1" applyFill="1" applyBorder="1" applyAlignment="1">
      <alignment vertical="center" wrapText="1"/>
    </xf>
    <xf numFmtId="3" fontId="24" fillId="0" borderId="1" xfId="0" applyNumberFormat="1" applyFont="1" applyBorder="1" applyAlignment="1">
      <alignment vertical="center" wrapText="1"/>
    </xf>
    <xf numFmtId="0" fontId="27" fillId="9" borderId="1" xfId="0" applyFont="1" applyFill="1" applyBorder="1" applyAlignment="1">
      <alignment vertical="center" wrapText="1"/>
    </xf>
    <xf numFmtId="0" fontId="26" fillId="8" borderId="11" xfId="0" applyFont="1" applyFill="1" applyBorder="1" applyAlignment="1">
      <alignment vertical="center" wrapText="1"/>
    </xf>
    <xf numFmtId="0" fontId="16" fillId="0" borderId="1" xfId="0" applyFont="1" applyBorder="1" applyAlignment="1">
      <alignment horizontal="left" vertical="top" wrapText="1"/>
    </xf>
    <xf numFmtId="4" fontId="7" fillId="0" borderId="1" xfId="0" applyNumberFormat="1" applyFont="1" applyBorder="1" applyAlignment="1">
      <alignment horizontal="center" vertical="top" wrapText="1"/>
    </xf>
    <xf numFmtId="4" fontId="7" fillId="0" borderId="1" xfId="0" applyNumberFormat="1" applyFont="1" applyBorder="1" applyAlignment="1">
      <alignment horizontal="center" vertical="top"/>
    </xf>
    <xf numFmtId="0" fontId="0" fillId="0" borderId="0" xfId="0" applyAlignment="1">
      <alignment horizontal="left" vertical="top" wrapText="1"/>
    </xf>
    <xf numFmtId="0" fontId="0" fillId="0" borderId="0" xfId="0" applyAlignment="1">
      <alignment horizontal="left" vertical="center"/>
    </xf>
    <xf numFmtId="0" fontId="1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11" fillId="0" borderId="0" xfId="2" applyAlignment="1">
      <alignment horizontal="center" vertical="center" wrapText="1"/>
    </xf>
    <xf numFmtId="0" fontId="0" fillId="0" borderId="0" xfId="0"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27</xdr:col>
      <xdr:colOff>523875</xdr:colOff>
      <xdr:row>42</xdr:row>
      <xdr:rowOff>123825</xdr:rowOff>
    </xdr:to>
    <xdr:pic>
      <xdr:nvPicPr>
        <xdr:cNvPr id="2" name="Picture 1">
          <a:extLst>
            <a:ext uri="{FF2B5EF4-FFF2-40B4-BE49-F238E27FC236}">
              <a16:creationId xmlns:a16="http://schemas.microsoft.com/office/drawing/2014/main" id="{0F1D18EC-E64A-4EA0-86D2-101E15DC5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7506950" cy="6924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45</xdr:row>
      <xdr:rowOff>152400</xdr:rowOff>
    </xdr:from>
    <xdr:to>
      <xdr:col>27</xdr:col>
      <xdr:colOff>552450</xdr:colOff>
      <xdr:row>61</xdr:row>
      <xdr:rowOff>94603</xdr:rowOff>
    </xdr:to>
    <xdr:pic>
      <xdr:nvPicPr>
        <xdr:cNvPr id="3" name="Picture 2">
          <a:extLst>
            <a:ext uri="{FF2B5EF4-FFF2-40B4-BE49-F238E27FC236}">
              <a16:creationId xmlns:a16="http://schemas.microsoft.com/office/drawing/2014/main" id="{4D77ECDB-C138-4810-BC61-7599C4C3D727}"/>
            </a:ext>
          </a:extLst>
        </xdr:cNvPr>
        <xdr:cNvPicPr>
          <a:picLocks noChangeAspect="1"/>
        </xdr:cNvPicPr>
      </xdr:nvPicPr>
      <xdr:blipFill>
        <a:blip xmlns:r="http://schemas.openxmlformats.org/officeDocument/2006/relationships" r:embed="rId2"/>
        <a:stretch>
          <a:fillRect/>
        </a:stretch>
      </xdr:blipFill>
      <xdr:spPr>
        <a:xfrm>
          <a:off x="57150" y="7439025"/>
          <a:ext cx="17526000" cy="2533003"/>
        </a:xfrm>
        <a:prstGeom prst="rect">
          <a:avLst/>
        </a:prstGeom>
      </xdr:spPr>
    </xdr:pic>
    <xdr:clientData/>
  </xdr:twoCellAnchor>
  <xdr:twoCellAnchor>
    <xdr:from>
      <xdr:col>8</xdr:col>
      <xdr:colOff>38100</xdr:colOff>
      <xdr:row>1</xdr:row>
      <xdr:rowOff>80962</xdr:rowOff>
    </xdr:from>
    <xdr:to>
      <xdr:col>14</xdr:col>
      <xdr:colOff>0</xdr:colOff>
      <xdr:row>2</xdr:row>
      <xdr:rowOff>95250</xdr:rowOff>
    </xdr:to>
    <xdr:sp macro="" textlink="">
      <xdr:nvSpPr>
        <xdr:cNvPr id="4" name="TextBox 3">
          <a:extLst>
            <a:ext uri="{FF2B5EF4-FFF2-40B4-BE49-F238E27FC236}">
              <a16:creationId xmlns:a16="http://schemas.microsoft.com/office/drawing/2014/main" id="{80280BFB-42FA-473B-9A28-6509808E9C97}"/>
            </a:ext>
          </a:extLst>
        </xdr:cNvPr>
        <xdr:cNvSpPr txBox="1"/>
      </xdr:nvSpPr>
      <xdr:spPr>
        <a:xfrm>
          <a:off x="4914900" y="242887"/>
          <a:ext cx="4095750" cy="176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ons.gov.uk/peoplepopulationandcommunity/populationandmigration/populationprojections/datasets/localauthoritiesinenglandtable2"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kent.gov.uk/about-the-council/information-and-data/facts-and-figures-about-kent/population-and-census/population-forecasts" TargetMode="External"/><Relationship Id="rId1" Type="http://schemas.openxmlformats.org/officeDocument/2006/relationships/hyperlink" Target="https://www.kent.gov.uk/__data/assets/pdf_file/0005/211649/KCC-housing-led-summar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8C84-F422-456D-977A-6CE14EF8E028}">
  <dimension ref="A1:W54"/>
  <sheetViews>
    <sheetView tabSelected="1" zoomScale="85" zoomScaleNormal="85" workbookViewId="0">
      <pane ySplit="1" topLeftCell="A2" activePane="bottomLeft" state="frozen"/>
      <selection pane="bottomLeft" activeCell="G4" sqref="G4"/>
    </sheetView>
  </sheetViews>
  <sheetFormatPr defaultRowHeight="18.75" x14ac:dyDescent="0.3"/>
  <cols>
    <col min="1" max="1" width="35.42578125" style="3" customWidth="1"/>
    <col min="2" max="2" width="14.140625" style="4" customWidth="1"/>
    <col min="3" max="3" width="13.5703125" style="6" customWidth="1"/>
    <col min="4" max="4" width="4.140625" style="8" hidden="1" customWidth="1"/>
    <col min="5" max="5" width="15.7109375" style="7" customWidth="1"/>
    <col min="6" max="6" width="13.5703125" style="7" customWidth="1"/>
    <col min="7" max="11" width="13.5703125" style="4" customWidth="1"/>
    <col min="12" max="12" width="31.42578125" style="4" customWidth="1"/>
    <col min="13" max="13" width="20.7109375" style="4" customWidth="1"/>
    <col min="14" max="14" width="13.5703125" style="4" customWidth="1"/>
    <col min="16" max="16" width="15.28515625" customWidth="1"/>
    <col min="17" max="17" width="15.5703125" customWidth="1"/>
    <col min="21" max="21" width="15.42578125" customWidth="1"/>
  </cols>
  <sheetData>
    <row r="1" spans="1:23" ht="186.75" customHeight="1" thickBot="1" x14ac:dyDescent="0.25">
      <c r="A1" s="70" t="s">
        <v>93</v>
      </c>
      <c r="B1" s="70" t="s">
        <v>209</v>
      </c>
      <c r="C1" s="70" t="s">
        <v>208</v>
      </c>
      <c r="D1" s="71"/>
      <c r="E1" s="70" t="s">
        <v>207</v>
      </c>
      <c r="F1" s="70" t="s">
        <v>119</v>
      </c>
      <c r="G1" s="70" t="s">
        <v>118</v>
      </c>
      <c r="H1" s="70" t="s">
        <v>165</v>
      </c>
      <c r="I1" s="70" t="s">
        <v>205</v>
      </c>
      <c r="J1" s="70" t="s">
        <v>120</v>
      </c>
      <c r="K1" s="70" t="s">
        <v>206</v>
      </c>
      <c r="L1" s="70" t="s">
        <v>220</v>
      </c>
      <c r="M1" s="70" t="s">
        <v>216</v>
      </c>
      <c r="N1" s="70" t="s">
        <v>206</v>
      </c>
      <c r="P1" s="118" t="s">
        <v>222</v>
      </c>
      <c r="Q1" s="118"/>
      <c r="R1" s="118"/>
      <c r="S1" s="118"/>
      <c r="T1" s="118"/>
      <c r="U1" s="118"/>
    </row>
    <row r="2" spans="1:23" ht="37.5" customHeight="1" thickBot="1" x14ac:dyDescent="0.25">
      <c r="A2" s="72" t="s">
        <v>3</v>
      </c>
      <c r="B2" s="73">
        <v>594</v>
      </c>
      <c r="C2" s="73">
        <v>631</v>
      </c>
      <c r="D2" s="74">
        <f>C2-B2</f>
        <v>37</v>
      </c>
      <c r="E2" s="75">
        <f>D2/B2</f>
        <v>6.2289562289562291E-2</v>
      </c>
      <c r="F2" s="76">
        <f>C2*(1+E2)</f>
        <v>670.30471380471386</v>
      </c>
      <c r="G2" s="77">
        <v>30</v>
      </c>
      <c r="H2" s="77">
        <f>G2*1.89</f>
        <v>56.699999999999996</v>
      </c>
      <c r="I2" s="77">
        <f>F2+H2</f>
        <v>727.0047138047139</v>
      </c>
      <c r="J2" s="78">
        <v>7</v>
      </c>
      <c r="K2" s="77">
        <f t="shared" ref="K2:K33" si="0">I2/J2</f>
        <v>103.85781625781627</v>
      </c>
      <c r="L2" s="112"/>
      <c r="M2" s="78">
        <v>7</v>
      </c>
      <c r="N2" s="77">
        <f t="shared" ref="N2:N33" si="1">I2/M2</f>
        <v>103.85781625781627</v>
      </c>
      <c r="P2" s="107" t="s">
        <v>217</v>
      </c>
      <c r="Q2" s="108" t="s">
        <v>218</v>
      </c>
      <c r="R2" s="100"/>
      <c r="S2" s="122" t="s">
        <v>217</v>
      </c>
      <c r="T2" s="122"/>
      <c r="U2" s="108" t="s">
        <v>218</v>
      </c>
    </row>
    <row r="3" spans="1:23" ht="37.5" customHeight="1" thickBot="1" x14ac:dyDescent="0.25">
      <c r="A3" s="72" t="s">
        <v>5</v>
      </c>
      <c r="B3" s="73">
        <v>2662</v>
      </c>
      <c r="C3" s="73">
        <v>2780</v>
      </c>
      <c r="D3" s="74">
        <f t="shared" ref="D3:D52" si="2">C3-B3</f>
        <v>118</v>
      </c>
      <c r="E3" s="75">
        <f t="shared" ref="E3:E52" si="3">D3/B3</f>
        <v>4.4327573253193087E-2</v>
      </c>
      <c r="F3" s="76">
        <f t="shared" ref="F3:F52" si="4">C3*(1+E3)</f>
        <v>2903.2306536438768</v>
      </c>
      <c r="G3" s="77">
        <v>167</v>
      </c>
      <c r="H3" s="77">
        <f>G3*1.8</f>
        <v>300.60000000000002</v>
      </c>
      <c r="I3" s="77">
        <f t="shared" ref="I3:I52" si="5">F3+H3</f>
        <v>3203.8306536438768</v>
      </c>
      <c r="J3" s="78">
        <v>11</v>
      </c>
      <c r="K3" s="77">
        <f t="shared" si="0"/>
        <v>291.25733214944336</v>
      </c>
      <c r="L3" s="113"/>
      <c r="M3" s="79">
        <v>11</v>
      </c>
      <c r="N3" s="77">
        <f t="shared" si="1"/>
        <v>291.25733214944336</v>
      </c>
      <c r="P3" s="102" t="s">
        <v>219</v>
      </c>
      <c r="Q3" s="103">
        <v>7</v>
      </c>
      <c r="R3" s="101"/>
      <c r="S3" s="119" t="s">
        <v>221</v>
      </c>
      <c r="T3" s="119"/>
      <c r="U3" s="105">
        <v>17</v>
      </c>
    </row>
    <row r="4" spans="1:23" ht="37.5" customHeight="1" thickBot="1" x14ac:dyDescent="0.25">
      <c r="A4" s="72" t="s">
        <v>6</v>
      </c>
      <c r="B4" s="73">
        <v>4258</v>
      </c>
      <c r="C4" s="73">
        <v>4892</v>
      </c>
      <c r="D4" s="74">
        <f t="shared" si="2"/>
        <v>634</v>
      </c>
      <c r="E4" s="75">
        <f t="shared" si="3"/>
        <v>0.14889619539689997</v>
      </c>
      <c r="F4" s="76">
        <f t="shared" si="4"/>
        <v>5620.4001878816343</v>
      </c>
      <c r="G4" s="77">
        <v>403</v>
      </c>
      <c r="H4" s="77">
        <f>G4*1.7</f>
        <v>685.1</v>
      </c>
      <c r="I4" s="77">
        <f t="shared" si="5"/>
        <v>6305.5001878816347</v>
      </c>
      <c r="J4" s="78">
        <v>9</v>
      </c>
      <c r="K4" s="77">
        <f t="shared" si="0"/>
        <v>700.61113198684825</v>
      </c>
      <c r="L4" s="113"/>
      <c r="M4" s="80">
        <v>14</v>
      </c>
      <c r="N4" s="77">
        <f t="shared" si="1"/>
        <v>450.39287056297388</v>
      </c>
      <c r="P4" s="104">
        <v>1400</v>
      </c>
      <c r="Q4" s="105">
        <v>8</v>
      </c>
      <c r="R4" s="101"/>
      <c r="S4" s="120">
        <v>11900</v>
      </c>
      <c r="T4" s="120"/>
      <c r="U4" s="103">
        <v>18</v>
      </c>
    </row>
    <row r="5" spans="1:23" ht="37.5" customHeight="1" thickBot="1" x14ac:dyDescent="0.25">
      <c r="A5" s="72" t="s">
        <v>7</v>
      </c>
      <c r="B5" s="73">
        <v>1688</v>
      </c>
      <c r="C5" s="73">
        <v>1652</v>
      </c>
      <c r="D5" s="74">
        <f t="shared" si="2"/>
        <v>-36</v>
      </c>
      <c r="E5" s="75">
        <f t="shared" si="3"/>
        <v>-2.132701421800948E-2</v>
      </c>
      <c r="F5" s="76">
        <f t="shared" si="4"/>
        <v>1616.7677725118483</v>
      </c>
      <c r="G5" s="77">
        <v>133</v>
      </c>
      <c r="H5" s="77">
        <f>G5*1.57</f>
        <v>208.81</v>
      </c>
      <c r="I5" s="77">
        <f t="shared" si="5"/>
        <v>1825.5777725118483</v>
      </c>
      <c r="J5" s="78">
        <v>9</v>
      </c>
      <c r="K5" s="77">
        <f t="shared" si="0"/>
        <v>202.8419747235387</v>
      </c>
      <c r="L5" s="114"/>
      <c r="M5" s="78">
        <v>9</v>
      </c>
      <c r="N5" s="77">
        <f t="shared" si="1"/>
        <v>202.8419747235387</v>
      </c>
      <c r="P5" s="106">
        <v>2000</v>
      </c>
      <c r="Q5" s="103">
        <v>9</v>
      </c>
      <c r="R5" s="101"/>
      <c r="S5" s="119">
        <v>13500</v>
      </c>
      <c r="T5" s="119"/>
      <c r="U5" s="105">
        <v>19</v>
      </c>
    </row>
    <row r="6" spans="1:23" ht="37.5" customHeight="1" x14ac:dyDescent="0.2">
      <c r="A6" s="81" t="s">
        <v>94</v>
      </c>
      <c r="B6" s="82">
        <v>4933</v>
      </c>
      <c r="C6" s="82">
        <v>5057</v>
      </c>
      <c r="D6" s="83">
        <f t="shared" si="2"/>
        <v>124</v>
      </c>
      <c r="E6" s="84">
        <f t="shared" si="3"/>
        <v>2.5136833569835801E-2</v>
      </c>
      <c r="F6" s="85">
        <f t="shared" si="4"/>
        <v>5184.11696736266</v>
      </c>
      <c r="G6" s="86">
        <v>145</v>
      </c>
      <c r="H6" s="86">
        <f>G6*1.63</f>
        <v>236.35</v>
      </c>
      <c r="I6" s="86">
        <f t="shared" si="5"/>
        <v>5420.4669673626604</v>
      </c>
      <c r="J6" s="87">
        <v>5</v>
      </c>
      <c r="K6" s="86">
        <f t="shared" si="0"/>
        <v>1084.0933934725322</v>
      </c>
      <c r="L6" s="110" t="s">
        <v>226</v>
      </c>
      <c r="M6" s="88">
        <v>7</v>
      </c>
      <c r="N6" s="86">
        <f t="shared" si="1"/>
        <v>774.35242390895144</v>
      </c>
      <c r="P6" s="104">
        <v>2700</v>
      </c>
      <c r="Q6" s="105">
        <v>10</v>
      </c>
      <c r="R6" s="101"/>
      <c r="S6" s="120">
        <v>15200</v>
      </c>
      <c r="T6" s="120"/>
      <c r="U6" s="103">
        <v>20</v>
      </c>
      <c r="V6" s="1"/>
    </row>
    <row r="7" spans="1:23" ht="37.5" customHeight="1" x14ac:dyDescent="0.2">
      <c r="A7" s="9" t="s">
        <v>95</v>
      </c>
      <c r="B7" s="10">
        <v>5940</v>
      </c>
      <c r="C7" s="10">
        <v>5938</v>
      </c>
      <c r="D7" s="11">
        <f t="shared" si="2"/>
        <v>-2</v>
      </c>
      <c r="E7" s="12">
        <f t="shared" si="3"/>
        <v>-3.3670033670033672E-4</v>
      </c>
      <c r="F7" s="13">
        <f t="shared" si="4"/>
        <v>5936.0006734006738</v>
      </c>
      <c r="G7" s="15">
        <v>266</v>
      </c>
      <c r="H7" s="15">
        <f>G7*1.67</f>
        <v>444.21999999999997</v>
      </c>
      <c r="I7" s="15">
        <f t="shared" si="5"/>
        <v>6380.2206734006741</v>
      </c>
      <c r="J7" s="14">
        <v>5</v>
      </c>
      <c r="K7" s="15">
        <f t="shared" si="0"/>
        <v>1276.0441346801349</v>
      </c>
      <c r="L7" s="115"/>
      <c r="M7" s="68">
        <v>8</v>
      </c>
      <c r="N7" s="15">
        <f t="shared" si="1"/>
        <v>797.52758417508426</v>
      </c>
      <c r="P7" s="106">
        <v>3500</v>
      </c>
      <c r="Q7" s="103">
        <v>11</v>
      </c>
      <c r="R7" s="101"/>
      <c r="S7" s="119">
        <v>17000</v>
      </c>
      <c r="T7" s="119"/>
      <c r="U7" s="105">
        <v>21</v>
      </c>
      <c r="V7" s="1"/>
    </row>
    <row r="8" spans="1:23" ht="37.5" customHeight="1" thickBot="1" x14ac:dyDescent="0.25">
      <c r="A8" s="89" t="s">
        <v>96</v>
      </c>
      <c r="B8" s="90">
        <v>4957</v>
      </c>
      <c r="C8" s="90">
        <v>4856</v>
      </c>
      <c r="D8" s="91">
        <f t="shared" si="2"/>
        <v>-101</v>
      </c>
      <c r="E8" s="92">
        <f t="shared" si="3"/>
        <v>-2.0375226951785355E-2</v>
      </c>
      <c r="F8" s="93">
        <f t="shared" si="4"/>
        <v>4757.05789792213</v>
      </c>
      <c r="G8" s="94">
        <v>52</v>
      </c>
      <c r="H8" s="94">
        <f>G8*1.24</f>
        <v>64.48</v>
      </c>
      <c r="I8" s="94">
        <f t="shared" si="5"/>
        <v>4821.5378979221296</v>
      </c>
      <c r="J8" s="95">
        <v>5</v>
      </c>
      <c r="K8" s="94">
        <f t="shared" si="0"/>
        <v>964.30757958442587</v>
      </c>
      <c r="L8" s="111"/>
      <c r="M8" s="96">
        <v>6</v>
      </c>
      <c r="N8" s="94">
        <f t="shared" si="1"/>
        <v>803.5896496536883</v>
      </c>
      <c r="P8" s="104">
        <v>4400</v>
      </c>
      <c r="Q8" s="105">
        <v>12</v>
      </c>
      <c r="R8" s="101"/>
      <c r="S8" s="120">
        <v>18900</v>
      </c>
      <c r="T8" s="120"/>
      <c r="U8" s="103">
        <v>22</v>
      </c>
      <c r="V8" s="1"/>
    </row>
    <row r="9" spans="1:23" ht="37.5" customHeight="1" thickBot="1" x14ac:dyDescent="0.25">
      <c r="A9" s="72" t="s">
        <v>19</v>
      </c>
      <c r="B9" s="73">
        <v>306</v>
      </c>
      <c r="C9" s="73">
        <v>294</v>
      </c>
      <c r="D9" s="74">
        <f t="shared" si="2"/>
        <v>-12</v>
      </c>
      <c r="E9" s="75">
        <f t="shared" si="3"/>
        <v>-3.9215686274509803E-2</v>
      </c>
      <c r="F9" s="76">
        <f t="shared" si="4"/>
        <v>282.47058823529414</v>
      </c>
      <c r="G9" s="77">
        <v>12</v>
      </c>
      <c r="H9" s="77">
        <f>G9*1.87</f>
        <v>22.44</v>
      </c>
      <c r="I9" s="77">
        <f t="shared" si="5"/>
        <v>304.91058823529414</v>
      </c>
      <c r="J9" s="78">
        <v>5</v>
      </c>
      <c r="K9" s="77">
        <f t="shared" si="0"/>
        <v>60.982117647058828</v>
      </c>
      <c r="L9" s="76"/>
      <c r="M9" s="80">
        <v>7</v>
      </c>
      <c r="N9" s="77">
        <f t="shared" si="1"/>
        <v>43.55865546218488</v>
      </c>
      <c r="P9" s="106">
        <v>5400</v>
      </c>
      <c r="Q9" s="103">
        <v>13</v>
      </c>
      <c r="R9" s="101"/>
      <c r="S9" s="119">
        <v>20900</v>
      </c>
      <c r="T9" s="119"/>
      <c r="U9" s="105">
        <v>23</v>
      </c>
      <c r="W9" s="1"/>
    </row>
    <row r="10" spans="1:23" ht="37.5" customHeight="1" x14ac:dyDescent="0.2">
      <c r="A10" s="81" t="s">
        <v>97</v>
      </c>
      <c r="B10" s="82">
        <v>5387</v>
      </c>
      <c r="C10" s="82">
        <v>5206</v>
      </c>
      <c r="D10" s="83">
        <f t="shared" si="2"/>
        <v>-181</v>
      </c>
      <c r="E10" s="84">
        <f t="shared" si="3"/>
        <v>-3.3599405977352885E-2</v>
      </c>
      <c r="F10" s="85">
        <f t="shared" si="4"/>
        <v>5031.0814924819006</v>
      </c>
      <c r="G10" s="86">
        <v>181</v>
      </c>
      <c r="H10" s="86">
        <f>G10*1.56</f>
        <v>282.36</v>
      </c>
      <c r="I10" s="86">
        <f t="shared" si="5"/>
        <v>5313.4414924819002</v>
      </c>
      <c r="J10" s="87">
        <v>4</v>
      </c>
      <c r="K10" s="86">
        <f t="shared" si="0"/>
        <v>1328.3603731204751</v>
      </c>
      <c r="L10" s="110" t="s">
        <v>214</v>
      </c>
      <c r="M10" s="88">
        <v>6</v>
      </c>
      <c r="N10" s="86">
        <f t="shared" si="1"/>
        <v>885.57358208031667</v>
      </c>
      <c r="P10" s="104">
        <v>6500</v>
      </c>
      <c r="Q10" s="105">
        <v>14</v>
      </c>
      <c r="R10" s="101"/>
      <c r="S10" s="120">
        <v>23000</v>
      </c>
      <c r="T10" s="120"/>
      <c r="U10" s="103">
        <v>24</v>
      </c>
      <c r="W10" s="1"/>
    </row>
    <row r="11" spans="1:23" ht="37.5" customHeight="1" x14ac:dyDescent="0.2">
      <c r="A11" s="9" t="s">
        <v>98</v>
      </c>
      <c r="B11" s="10">
        <v>2959</v>
      </c>
      <c r="C11" s="10">
        <v>2900</v>
      </c>
      <c r="D11" s="11">
        <f t="shared" si="2"/>
        <v>-59</v>
      </c>
      <c r="E11" s="12">
        <f t="shared" si="3"/>
        <v>-1.9939168638053395E-2</v>
      </c>
      <c r="F11" s="13">
        <f t="shared" si="4"/>
        <v>2842.1764109496448</v>
      </c>
      <c r="G11" s="15">
        <v>31</v>
      </c>
      <c r="H11" s="15">
        <f>G11*1.75</f>
        <v>54.25</v>
      </c>
      <c r="I11" s="15">
        <f t="shared" si="5"/>
        <v>2896.4264109496448</v>
      </c>
      <c r="J11" s="14">
        <v>2</v>
      </c>
      <c r="K11" s="15">
        <f t="shared" si="0"/>
        <v>1448.2132054748224</v>
      </c>
      <c r="L11" s="115"/>
      <c r="M11" s="68">
        <v>3</v>
      </c>
      <c r="N11" s="15">
        <f t="shared" si="1"/>
        <v>965.47547031654824</v>
      </c>
      <c r="P11" s="106">
        <v>7700</v>
      </c>
      <c r="Q11" s="103">
        <v>15</v>
      </c>
      <c r="R11" s="101"/>
      <c r="S11" s="121" t="s">
        <v>223</v>
      </c>
      <c r="T11" s="121"/>
      <c r="U11" s="105">
        <v>25</v>
      </c>
      <c r="V11" s="1"/>
      <c r="W11" s="1"/>
    </row>
    <row r="12" spans="1:23" ht="37.5" customHeight="1" x14ac:dyDescent="0.2">
      <c r="A12" s="9" t="s">
        <v>99</v>
      </c>
      <c r="B12" s="10">
        <v>485</v>
      </c>
      <c r="C12" s="10">
        <v>469</v>
      </c>
      <c r="D12" s="11">
        <f t="shared" si="2"/>
        <v>-16</v>
      </c>
      <c r="E12" s="12">
        <f t="shared" si="3"/>
        <v>-3.2989690721649485E-2</v>
      </c>
      <c r="F12" s="13">
        <f t="shared" si="4"/>
        <v>453.52783505154639</v>
      </c>
      <c r="G12" s="15">
        <v>0</v>
      </c>
      <c r="H12" s="15">
        <f>G12*1.43</f>
        <v>0</v>
      </c>
      <c r="I12" s="15">
        <f t="shared" si="5"/>
        <v>453.52783505154639</v>
      </c>
      <c r="J12" s="14">
        <v>1</v>
      </c>
      <c r="K12" s="15">
        <f t="shared" si="0"/>
        <v>453.52783505154639</v>
      </c>
      <c r="L12" s="115"/>
      <c r="M12" s="69">
        <v>1</v>
      </c>
      <c r="N12" s="15">
        <f t="shared" si="1"/>
        <v>453.52783505154639</v>
      </c>
      <c r="P12" s="104">
        <v>9000</v>
      </c>
      <c r="Q12" s="105">
        <v>16</v>
      </c>
      <c r="R12" s="116"/>
      <c r="S12" s="116"/>
      <c r="T12" s="117"/>
      <c r="U12" s="117"/>
      <c r="V12" s="1"/>
      <c r="W12" s="1"/>
    </row>
    <row r="13" spans="1:23" ht="37.5" customHeight="1" x14ac:dyDescent="0.2">
      <c r="A13" s="9" t="s">
        <v>100</v>
      </c>
      <c r="B13" s="10">
        <v>4551</v>
      </c>
      <c r="C13" s="10">
        <v>4571</v>
      </c>
      <c r="D13" s="11">
        <f t="shared" si="2"/>
        <v>20</v>
      </c>
      <c r="E13" s="12">
        <f t="shared" si="3"/>
        <v>4.394638540980004E-3</v>
      </c>
      <c r="F13" s="13">
        <f t="shared" si="4"/>
        <v>4591.08789277082</v>
      </c>
      <c r="G13" s="15">
        <v>309</v>
      </c>
      <c r="H13" s="15">
        <f>G13*1.41</f>
        <v>435.69</v>
      </c>
      <c r="I13" s="15">
        <f t="shared" si="5"/>
        <v>5026.7778927708196</v>
      </c>
      <c r="J13" s="14">
        <v>4</v>
      </c>
      <c r="K13" s="15">
        <f t="shared" si="0"/>
        <v>1256.6944731927049</v>
      </c>
      <c r="L13" s="115"/>
      <c r="M13" s="68">
        <v>5</v>
      </c>
      <c r="N13" s="15">
        <f t="shared" si="1"/>
        <v>1005.3555785541639</v>
      </c>
      <c r="P13" s="2"/>
      <c r="Q13" s="5"/>
      <c r="S13" s="1"/>
      <c r="U13" s="1"/>
      <c r="V13" s="1"/>
      <c r="W13" s="1"/>
    </row>
    <row r="14" spans="1:23" ht="37.5" customHeight="1" x14ac:dyDescent="0.2">
      <c r="A14" s="9" t="s">
        <v>101</v>
      </c>
      <c r="B14" s="10">
        <v>2864</v>
      </c>
      <c r="C14" s="10">
        <v>2813</v>
      </c>
      <c r="D14" s="11">
        <f t="shared" si="2"/>
        <v>-51</v>
      </c>
      <c r="E14" s="12">
        <f t="shared" si="3"/>
        <v>-1.7807262569832401E-2</v>
      </c>
      <c r="F14" s="13">
        <f t="shared" si="4"/>
        <v>2762.9081703910615</v>
      </c>
      <c r="G14" s="15">
        <v>34</v>
      </c>
      <c r="H14" s="15">
        <f>G14*1.41</f>
        <v>47.94</v>
      </c>
      <c r="I14" s="15">
        <f t="shared" si="5"/>
        <v>2810.8481703910616</v>
      </c>
      <c r="J14" s="14">
        <v>2</v>
      </c>
      <c r="K14" s="15">
        <f t="shared" si="0"/>
        <v>1405.4240851955308</v>
      </c>
      <c r="L14" s="115"/>
      <c r="M14" s="68">
        <v>3</v>
      </c>
      <c r="N14" s="15">
        <f t="shared" si="1"/>
        <v>936.94939013035389</v>
      </c>
      <c r="P14" s="2"/>
      <c r="Q14" s="5"/>
      <c r="V14" s="1"/>
    </row>
    <row r="15" spans="1:23" ht="37.5" customHeight="1" thickBot="1" x14ac:dyDescent="0.25">
      <c r="A15" s="89" t="s">
        <v>102</v>
      </c>
      <c r="B15" s="90">
        <v>5762</v>
      </c>
      <c r="C15" s="90">
        <v>5755</v>
      </c>
      <c r="D15" s="91">
        <f t="shared" si="2"/>
        <v>-7</v>
      </c>
      <c r="E15" s="92">
        <f t="shared" si="3"/>
        <v>-1.2148559527941688E-3</v>
      </c>
      <c r="F15" s="93">
        <f t="shared" si="4"/>
        <v>5748.0085039916694</v>
      </c>
      <c r="G15" s="94">
        <v>185</v>
      </c>
      <c r="H15" s="94">
        <f>G15*1.3</f>
        <v>240.5</v>
      </c>
      <c r="I15" s="94">
        <f t="shared" si="5"/>
        <v>5988.5085039916694</v>
      </c>
      <c r="J15" s="95">
        <v>5</v>
      </c>
      <c r="K15" s="94">
        <f t="shared" si="0"/>
        <v>1197.7017007983338</v>
      </c>
      <c r="L15" s="111"/>
      <c r="M15" s="96">
        <v>6</v>
      </c>
      <c r="N15" s="94">
        <f t="shared" si="1"/>
        <v>998.08475066527819</v>
      </c>
      <c r="P15" s="2"/>
      <c r="Q15" s="5"/>
    </row>
    <row r="16" spans="1:23" ht="37.5" customHeight="1" thickBot="1" x14ac:dyDescent="0.25">
      <c r="A16" s="72" t="s">
        <v>35</v>
      </c>
      <c r="B16" s="73">
        <v>1985</v>
      </c>
      <c r="C16" s="73">
        <v>1924</v>
      </c>
      <c r="D16" s="74">
        <f t="shared" si="2"/>
        <v>-61</v>
      </c>
      <c r="E16" s="75">
        <f t="shared" si="3"/>
        <v>-3.0730478589420653E-2</v>
      </c>
      <c r="F16" s="76">
        <f t="shared" si="4"/>
        <v>1864.8745591939546</v>
      </c>
      <c r="G16" s="77">
        <v>162</v>
      </c>
      <c r="H16" s="77">
        <f>G16*1.71</f>
        <v>277.02</v>
      </c>
      <c r="I16" s="77">
        <f t="shared" si="5"/>
        <v>2141.8945591939546</v>
      </c>
      <c r="J16" s="78">
        <v>11</v>
      </c>
      <c r="K16" s="77">
        <f t="shared" si="0"/>
        <v>194.71768719945041</v>
      </c>
      <c r="L16" s="76"/>
      <c r="M16" s="80">
        <v>10</v>
      </c>
      <c r="N16" s="77">
        <f t="shared" si="1"/>
        <v>214.18945591939547</v>
      </c>
      <c r="P16" s="2"/>
      <c r="Q16" s="1"/>
    </row>
    <row r="17" spans="1:20" ht="37.5" customHeight="1" x14ac:dyDescent="0.2">
      <c r="A17" s="81" t="s">
        <v>103</v>
      </c>
      <c r="B17" s="82">
        <v>48</v>
      </c>
      <c r="C17" s="82">
        <v>41</v>
      </c>
      <c r="D17" s="83">
        <f t="shared" si="2"/>
        <v>-7</v>
      </c>
      <c r="E17" s="84">
        <f t="shared" si="3"/>
        <v>-0.14583333333333334</v>
      </c>
      <c r="F17" s="85">
        <f t="shared" si="4"/>
        <v>35.020833333333329</v>
      </c>
      <c r="G17" s="86">
        <v>0</v>
      </c>
      <c r="H17" s="86">
        <f>G17*1.75</f>
        <v>0</v>
      </c>
      <c r="I17" s="86">
        <f t="shared" si="5"/>
        <v>35.020833333333329</v>
      </c>
      <c r="J17" s="87">
        <v>1</v>
      </c>
      <c r="K17" s="86">
        <f t="shared" si="0"/>
        <v>35.020833333333329</v>
      </c>
      <c r="L17" s="110" t="s">
        <v>210</v>
      </c>
      <c r="M17" s="97">
        <v>1</v>
      </c>
      <c r="N17" s="86">
        <f t="shared" si="1"/>
        <v>35.020833333333329</v>
      </c>
      <c r="P17" s="2"/>
      <c r="Q17" s="1"/>
      <c r="T17" s="1"/>
    </row>
    <row r="18" spans="1:20" ht="37.5" customHeight="1" thickBot="1" x14ac:dyDescent="0.25">
      <c r="A18" s="89" t="s">
        <v>104</v>
      </c>
      <c r="B18" s="90">
        <v>1924</v>
      </c>
      <c r="C18" s="90">
        <v>1915</v>
      </c>
      <c r="D18" s="91">
        <f t="shared" si="2"/>
        <v>-9</v>
      </c>
      <c r="E18" s="92">
        <f t="shared" si="3"/>
        <v>-4.677754677754678E-3</v>
      </c>
      <c r="F18" s="93">
        <f t="shared" si="4"/>
        <v>1906.0420997920999</v>
      </c>
      <c r="G18" s="94">
        <v>21</v>
      </c>
      <c r="H18" s="94">
        <f>G18*1.81</f>
        <v>38.01</v>
      </c>
      <c r="I18" s="94">
        <f t="shared" si="5"/>
        <v>1944.0520997920999</v>
      </c>
      <c r="J18" s="95">
        <v>10</v>
      </c>
      <c r="K18" s="94">
        <f t="shared" si="0"/>
        <v>194.40520997920999</v>
      </c>
      <c r="L18" s="111"/>
      <c r="M18" s="96">
        <v>8</v>
      </c>
      <c r="N18" s="94">
        <f t="shared" si="1"/>
        <v>243.00651247401248</v>
      </c>
      <c r="P18" s="2"/>
      <c r="Q18" s="5"/>
      <c r="T18" s="1"/>
    </row>
    <row r="19" spans="1:20" ht="37.5" customHeight="1" thickBot="1" x14ac:dyDescent="0.25">
      <c r="A19" s="72" t="s">
        <v>41</v>
      </c>
      <c r="B19" s="73">
        <v>301</v>
      </c>
      <c r="C19" s="73">
        <v>309</v>
      </c>
      <c r="D19" s="74">
        <f t="shared" si="2"/>
        <v>8</v>
      </c>
      <c r="E19" s="75">
        <f t="shared" si="3"/>
        <v>2.6578073089700997E-2</v>
      </c>
      <c r="F19" s="76">
        <f t="shared" si="4"/>
        <v>317.21262458471762</v>
      </c>
      <c r="G19" s="77">
        <v>12</v>
      </c>
      <c r="H19" s="77">
        <f>G19*1.66</f>
        <v>19.919999999999998</v>
      </c>
      <c r="I19" s="77">
        <f t="shared" si="5"/>
        <v>337.13262458471763</v>
      </c>
      <c r="J19" s="78">
        <v>5</v>
      </c>
      <c r="K19" s="77">
        <f t="shared" si="0"/>
        <v>67.426524916943521</v>
      </c>
      <c r="L19" s="112"/>
      <c r="M19" s="80">
        <v>7</v>
      </c>
      <c r="N19" s="77">
        <f t="shared" si="1"/>
        <v>48.161803512102516</v>
      </c>
      <c r="P19" s="2"/>
      <c r="Q19" s="1"/>
    </row>
    <row r="20" spans="1:20" ht="37.5" customHeight="1" thickBot="1" x14ac:dyDescent="0.25">
      <c r="A20" s="72" t="s">
        <v>42</v>
      </c>
      <c r="B20" s="73">
        <v>583</v>
      </c>
      <c r="C20" s="73">
        <v>588</v>
      </c>
      <c r="D20" s="74">
        <f t="shared" si="2"/>
        <v>5</v>
      </c>
      <c r="E20" s="75">
        <f t="shared" si="3"/>
        <v>8.5763293310463125E-3</v>
      </c>
      <c r="F20" s="76">
        <f t="shared" si="4"/>
        <v>593.04288164665525</v>
      </c>
      <c r="G20" s="77">
        <v>46</v>
      </c>
      <c r="H20" s="77">
        <f>G20*1.76</f>
        <v>80.959999999999994</v>
      </c>
      <c r="I20" s="77">
        <f t="shared" si="5"/>
        <v>674.00288164665528</v>
      </c>
      <c r="J20" s="78">
        <v>7</v>
      </c>
      <c r="K20" s="77">
        <f t="shared" si="0"/>
        <v>96.286125949522187</v>
      </c>
      <c r="L20" s="113"/>
      <c r="M20" s="78">
        <v>7</v>
      </c>
      <c r="N20" s="77">
        <f t="shared" si="1"/>
        <v>96.286125949522187</v>
      </c>
      <c r="P20" s="2"/>
      <c r="Q20" s="1"/>
    </row>
    <row r="21" spans="1:20" ht="37.5" customHeight="1" thickBot="1" x14ac:dyDescent="0.25">
      <c r="A21" s="72" t="s">
        <v>44</v>
      </c>
      <c r="B21" s="73">
        <v>677</v>
      </c>
      <c r="C21" s="73">
        <v>677</v>
      </c>
      <c r="D21" s="74">
        <f t="shared" si="2"/>
        <v>0</v>
      </c>
      <c r="E21" s="75">
        <f t="shared" si="3"/>
        <v>0</v>
      </c>
      <c r="F21" s="76">
        <f t="shared" si="4"/>
        <v>677</v>
      </c>
      <c r="G21" s="77">
        <v>366</v>
      </c>
      <c r="H21" s="77">
        <f>G21*1.25</f>
        <v>457.5</v>
      </c>
      <c r="I21" s="77">
        <f t="shared" si="5"/>
        <v>1134.5</v>
      </c>
      <c r="J21" s="78">
        <v>7</v>
      </c>
      <c r="K21" s="77">
        <f t="shared" si="0"/>
        <v>162.07142857142858</v>
      </c>
      <c r="L21" s="113"/>
      <c r="M21" s="80">
        <v>8</v>
      </c>
      <c r="N21" s="77">
        <f t="shared" si="1"/>
        <v>141.8125</v>
      </c>
      <c r="P21" s="2"/>
      <c r="Q21" s="1"/>
    </row>
    <row r="22" spans="1:20" ht="37.5" customHeight="1" thickBot="1" x14ac:dyDescent="0.25">
      <c r="A22" s="72" t="s">
        <v>46</v>
      </c>
      <c r="B22" s="73">
        <v>406</v>
      </c>
      <c r="C22" s="73">
        <v>390</v>
      </c>
      <c r="D22" s="74">
        <f t="shared" si="2"/>
        <v>-16</v>
      </c>
      <c r="E22" s="75">
        <f t="shared" si="3"/>
        <v>-3.9408866995073892E-2</v>
      </c>
      <c r="F22" s="76">
        <f t="shared" si="4"/>
        <v>374.6305418719212</v>
      </c>
      <c r="G22" s="77">
        <v>3</v>
      </c>
      <c r="H22" s="77">
        <f>G22*1.78</f>
        <v>5.34</v>
      </c>
      <c r="I22" s="77">
        <f t="shared" si="5"/>
        <v>379.97054187192117</v>
      </c>
      <c r="J22" s="78">
        <v>7</v>
      </c>
      <c r="K22" s="77">
        <f t="shared" si="0"/>
        <v>54.281505981703027</v>
      </c>
      <c r="L22" s="113"/>
      <c r="M22" s="78">
        <v>7</v>
      </c>
      <c r="N22" s="77">
        <f t="shared" si="1"/>
        <v>54.281505981703027</v>
      </c>
      <c r="P22" s="2"/>
      <c r="Q22" s="1"/>
    </row>
    <row r="23" spans="1:20" ht="37.5" customHeight="1" thickBot="1" x14ac:dyDescent="0.25">
      <c r="A23" s="72" t="s">
        <v>48</v>
      </c>
      <c r="B23" s="73">
        <v>501</v>
      </c>
      <c r="C23" s="73">
        <v>487</v>
      </c>
      <c r="D23" s="74">
        <f t="shared" si="2"/>
        <v>-14</v>
      </c>
      <c r="E23" s="75">
        <f t="shared" si="3"/>
        <v>-2.7944111776447105E-2</v>
      </c>
      <c r="F23" s="76">
        <f t="shared" si="4"/>
        <v>473.39121756487026</v>
      </c>
      <c r="G23" s="77">
        <v>13</v>
      </c>
      <c r="H23" s="77">
        <f>G23*1.78</f>
        <v>23.14</v>
      </c>
      <c r="I23" s="77">
        <f t="shared" si="5"/>
        <v>496.53121756487025</v>
      </c>
      <c r="J23" s="78">
        <v>7</v>
      </c>
      <c r="K23" s="77">
        <f t="shared" si="0"/>
        <v>70.933031080695756</v>
      </c>
      <c r="L23" s="113"/>
      <c r="M23" s="78">
        <v>7</v>
      </c>
      <c r="N23" s="77">
        <f t="shared" si="1"/>
        <v>70.933031080695756</v>
      </c>
      <c r="P23" s="2"/>
      <c r="Q23" s="1"/>
      <c r="T23" s="1"/>
    </row>
    <row r="24" spans="1:20" ht="37.5" customHeight="1" thickBot="1" x14ac:dyDescent="0.25">
      <c r="A24" s="72" t="s">
        <v>50</v>
      </c>
      <c r="B24" s="73">
        <v>588</v>
      </c>
      <c r="C24" s="73">
        <v>635</v>
      </c>
      <c r="D24" s="74">
        <f t="shared" si="2"/>
        <v>47</v>
      </c>
      <c r="E24" s="75">
        <f t="shared" si="3"/>
        <v>7.9931972789115652E-2</v>
      </c>
      <c r="F24" s="76">
        <f t="shared" si="4"/>
        <v>685.75680272108843</v>
      </c>
      <c r="G24" s="77">
        <v>3</v>
      </c>
      <c r="H24" s="77">
        <f>G24*1.91</f>
        <v>5.7299999999999995</v>
      </c>
      <c r="I24" s="77">
        <f t="shared" si="5"/>
        <v>691.48680272108845</v>
      </c>
      <c r="J24" s="78">
        <v>9</v>
      </c>
      <c r="K24" s="77">
        <f t="shared" si="0"/>
        <v>76.831866969009823</v>
      </c>
      <c r="L24" s="113"/>
      <c r="M24" s="80">
        <v>7</v>
      </c>
      <c r="N24" s="77">
        <f t="shared" si="1"/>
        <v>98.783828960155489</v>
      </c>
      <c r="P24" s="2"/>
      <c r="Q24" s="1"/>
      <c r="T24" s="1"/>
    </row>
    <row r="25" spans="1:20" ht="37.5" customHeight="1" thickBot="1" x14ac:dyDescent="0.25">
      <c r="A25" s="72" t="s">
        <v>52</v>
      </c>
      <c r="B25" s="73">
        <v>698</v>
      </c>
      <c r="C25" s="73">
        <v>705</v>
      </c>
      <c r="D25" s="74">
        <f t="shared" si="2"/>
        <v>7</v>
      </c>
      <c r="E25" s="75">
        <f t="shared" si="3"/>
        <v>1.0028653295128941E-2</v>
      </c>
      <c r="F25" s="76">
        <f t="shared" si="4"/>
        <v>712.07020057306602</v>
      </c>
      <c r="G25" s="77">
        <v>30</v>
      </c>
      <c r="H25" s="77">
        <f>G25*2.04</f>
        <v>61.2</v>
      </c>
      <c r="I25" s="77">
        <f t="shared" si="5"/>
        <v>773.27020057306606</v>
      </c>
      <c r="J25" s="78">
        <v>7</v>
      </c>
      <c r="K25" s="77">
        <f t="shared" si="0"/>
        <v>110.46717151043801</v>
      </c>
      <c r="L25" s="113"/>
      <c r="M25" s="78">
        <v>7</v>
      </c>
      <c r="N25" s="77">
        <f t="shared" si="1"/>
        <v>110.46717151043801</v>
      </c>
      <c r="P25" s="2"/>
      <c r="Q25" s="1"/>
    </row>
    <row r="26" spans="1:20" ht="37.5" customHeight="1" thickBot="1" x14ac:dyDescent="0.25">
      <c r="A26" s="72" t="s">
        <v>54</v>
      </c>
      <c r="B26" s="73">
        <v>578</v>
      </c>
      <c r="C26" s="73">
        <v>558</v>
      </c>
      <c r="D26" s="74">
        <f t="shared" si="2"/>
        <v>-20</v>
      </c>
      <c r="E26" s="75">
        <f t="shared" si="3"/>
        <v>-3.4602076124567477E-2</v>
      </c>
      <c r="F26" s="76">
        <f t="shared" si="4"/>
        <v>538.69204152249131</v>
      </c>
      <c r="G26" s="77">
        <v>172</v>
      </c>
      <c r="H26" s="77">
        <f>G26*1.77</f>
        <v>304.44</v>
      </c>
      <c r="I26" s="77">
        <f t="shared" si="5"/>
        <v>843.13204152249136</v>
      </c>
      <c r="J26" s="78">
        <v>7</v>
      </c>
      <c r="K26" s="77">
        <f t="shared" si="0"/>
        <v>120.44743450321305</v>
      </c>
      <c r="L26" s="113"/>
      <c r="M26" s="78">
        <v>7</v>
      </c>
      <c r="N26" s="77">
        <f t="shared" si="1"/>
        <v>120.44743450321305</v>
      </c>
      <c r="P26" s="2"/>
      <c r="Q26" s="1"/>
    </row>
    <row r="27" spans="1:20" ht="37.5" customHeight="1" thickBot="1" x14ac:dyDescent="0.25">
      <c r="A27" s="72" t="s">
        <v>56</v>
      </c>
      <c r="B27" s="73">
        <v>737</v>
      </c>
      <c r="C27" s="73">
        <v>741</v>
      </c>
      <c r="D27" s="74">
        <f t="shared" si="2"/>
        <v>4</v>
      </c>
      <c r="E27" s="75">
        <f t="shared" si="3"/>
        <v>5.4274084124830389E-3</v>
      </c>
      <c r="F27" s="76">
        <f t="shared" si="4"/>
        <v>745.02170963364995</v>
      </c>
      <c r="G27" s="77">
        <v>21</v>
      </c>
      <c r="H27" s="77">
        <f>G27*1.86</f>
        <v>39.06</v>
      </c>
      <c r="I27" s="77">
        <f t="shared" si="5"/>
        <v>784.08170963365001</v>
      </c>
      <c r="J27" s="78">
        <v>7</v>
      </c>
      <c r="K27" s="77">
        <f t="shared" si="0"/>
        <v>112.01167280480715</v>
      </c>
      <c r="L27" s="113"/>
      <c r="M27" s="78">
        <v>7</v>
      </c>
      <c r="N27" s="77">
        <f t="shared" si="1"/>
        <v>112.01167280480715</v>
      </c>
      <c r="P27" s="2"/>
      <c r="Q27" s="1"/>
    </row>
    <row r="28" spans="1:20" ht="37.5" customHeight="1" thickBot="1" x14ac:dyDescent="0.25">
      <c r="A28" s="72" t="s">
        <v>57</v>
      </c>
      <c r="B28" s="73">
        <v>1660</v>
      </c>
      <c r="C28" s="73">
        <v>1709</v>
      </c>
      <c r="D28" s="74">
        <f t="shared" si="2"/>
        <v>49</v>
      </c>
      <c r="E28" s="75">
        <f t="shared" si="3"/>
        <v>2.9518072289156625E-2</v>
      </c>
      <c r="F28" s="76">
        <f t="shared" si="4"/>
        <v>1759.4463855421686</v>
      </c>
      <c r="G28" s="77">
        <v>4</v>
      </c>
      <c r="H28" s="77">
        <f>G28*1.59</f>
        <v>6.36</v>
      </c>
      <c r="I28" s="77">
        <f t="shared" si="5"/>
        <v>1765.8063855421685</v>
      </c>
      <c r="J28" s="78">
        <v>9</v>
      </c>
      <c r="K28" s="77">
        <f t="shared" si="0"/>
        <v>196.20070950468539</v>
      </c>
      <c r="L28" s="113"/>
      <c r="M28" s="78">
        <v>9</v>
      </c>
      <c r="N28" s="77">
        <f t="shared" si="1"/>
        <v>196.20070950468539</v>
      </c>
      <c r="P28" s="2"/>
      <c r="Q28" s="5"/>
    </row>
    <row r="29" spans="1:20" ht="37.5" customHeight="1" thickBot="1" x14ac:dyDescent="0.25">
      <c r="A29" s="72" t="s">
        <v>60</v>
      </c>
      <c r="B29" s="73">
        <v>306</v>
      </c>
      <c r="C29" s="73">
        <v>289</v>
      </c>
      <c r="D29" s="74">
        <f t="shared" si="2"/>
        <v>-17</v>
      </c>
      <c r="E29" s="75">
        <f t="shared" si="3"/>
        <v>-5.5555555555555552E-2</v>
      </c>
      <c r="F29" s="76">
        <f t="shared" si="4"/>
        <v>272.94444444444446</v>
      </c>
      <c r="G29" s="77">
        <v>6</v>
      </c>
      <c r="H29" s="77">
        <f>G29*1.73</f>
        <v>10.379999999999999</v>
      </c>
      <c r="I29" s="77">
        <f t="shared" si="5"/>
        <v>283.32444444444445</v>
      </c>
      <c r="J29" s="78">
        <v>5</v>
      </c>
      <c r="K29" s="77">
        <f t="shared" si="0"/>
        <v>56.664888888888889</v>
      </c>
      <c r="L29" s="113"/>
      <c r="M29" s="80">
        <v>7</v>
      </c>
      <c r="N29" s="77">
        <f t="shared" si="1"/>
        <v>40.474920634920636</v>
      </c>
      <c r="P29" s="2"/>
      <c r="Q29" s="1"/>
    </row>
    <row r="30" spans="1:20" ht="37.5" customHeight="1" thickBot="1" x14ac:dyDescent="0.25">
      <c r="A30" s="72" t="s">
        <v>62</v>
      </c>
      <c r="B30" s="73">
        <v>3091</v>
      </c>
      <c r="C30" s="73">
        <v>3002</v>
      </c>
      <c r="D30" s="74">
        <f t="shared" si="2"/>
        <v>-89</v>
      </c>
      <c r="E30" s="75">
        <f t="shared" si="3"/>
        <v>-2.879327078615335E-2</v>
      </c>
      <c r="F30" s="76">
        <f t="shared" si="4"/>
        <v>2915.5626010999677</v>
      </c>
      <c r="G30" s="77">
        <v>3</v>
      </c>
      <c r="H30" s="77">
        <f>G30*1.82</f>
        <v>5.46</v>
      </c>
      <c r="I30" s="77">
        <f t="shared" si="5"/>
        <v>2921.0226010999677</v>
      </c>
      <c r="J30" s="78">
        <v>10</v>
      </c>
      <c r="K30" s="77">
        <f t="shared" si="0"/>
        <v>292.10226010999679</v>
      </c>
      <c r="L30" s="114"/>
      <c r="M30" s="80">
        <v>11</v>
      </c>
      <c r="N30" s="77">
        <f t="shared" si="1"/>
        <v>265.54750919090617</v>
      </c>
      <c r="P30" s="2"/>
      <c r="Q30" s="1"/>
    </row>
    <row r="31" spans="1:20" ht="37.5" customHeight="1" x14ac:dyDescent="0.2">
      <c r="A31" s="81" t="s">
        <v>105</v>
      </c>
      <c r="B31" s="82">
        <v>2107</v>
      </c>
      <c r="C31" s="82">
        <v>2177</v>
      </c>
      <c r="D31" s="83">
        <f t="shared" si="2"/>
        <v>70</v>
      </c>
      <c r="E31" s="84">
        <f t="shared" si="3"/>
        <v>3.3222591362126248E-2</v>
      </c>
      <c r="F31" s="85">
        <f t="shared" si="4"/>
        <v>2249.3255813953488</v>
      </c>
      <c r="G31" s="86">
        <v>211</v>
      </c>
      <c r="H31" s="86">
        <f>G31*1.44</f>
        <v>303.83999999999997</v>
      </c>
      <c r="I31" s="86">
        <f t="shared" si="5"/>
        <v>2553.1655813953489</v>
      </c>
      <c r="J31" s="87">
        <v>8</v>
      </c>
      <c r="K31" s="86">
        <f t="shared" si="0"/>
        <v>319.14569767441861</v>
      </c>
      <c r="L31" s="110" t="s">
        <v>225</v>
      </c>
      <c r="M31" s="88">
        <v>6</v>
      </c>
      <c r="N31" s="86">
        <f t="shared" si="1"/>
        <v>425.52759689922482</v>
      </c>
      <c r="P31" s="2"/>
      <c r="Q31" s="1"/>
    </row>
    <row r="32" spans="1:20" ht="37.5" customHeight="1" thickBot="1" x14ac:dyDescent="0.25">
      <c r="A32" s="89" t="s">
        <v>106</v>
      </c>
      <c r="B32" s="90">
        <v>1899</v>
      </c>
      <c r="C32" s="90">
        <v>2199</v>
      </c>
      <c r="D32" s="91">
        <f t="shared" si="2"/>
        <v>300</v>
      </c>
      <c r="E32" s="92">
        <f t="shared" si="3"/>
        <v>0.15797788309636651</v>
      </c>
      <c r="F32" s="93">
        <f t="shared" si="4"/>
        <v>2546.3933649289102</v>
      </c>
      <c r="G32" s="94">
        <v>21</v>
      </c>
      <c r="H32" s="94">
        <f>G32*1.73</f>
        <v>36.33</v>
      </c>
      <c r="I32" s="94">
        <f t="shared" si="5"/>
        <v>2582.7233649289101</v>
      </c>
      <c r="J32" s="95">
        <v>8</v>
      </c>
      <c r="K32" s="94">
        <f t="shared" si="0"/>
        <v>322.84042061611376</v>
      </c>
      <c r="L32" s="111"/>
      <c r="M32" s="96">
        <v>6</v>
      </c>
      <c r="N32" s="94">
        <f t="shared" si="1"/>
        <v>430.45389415481833</v>
      </c>
      <c r="P32" s="2"/>
      <c r="Q32" s="1"/>
    </row>
    <row r="33" spans="1:20" ht="37.5" customHeight="1" x14ac:dyDescent="0.2">
      <c r="A33" s="81" t="s">
        <v>107</v>
      </c>
      <c r="B33" s="82">
        <v>141</v>
      </c>
      <c r="C33" s="82">
        <v>147</v>
      </c>
      <c r="D33" s="83">
        <f t="shared" si="2"/>
        <v>6</v>
      </c>
      <c r="E33" s="84">
        <f t="shared" si="3"/>
        <v>4.2553191489361701E-2</v>
      </c>
      <c r="F33" s="85">
        <f t="shared" si="4"/>
        <v>153.25531914893617</v>
      </c>
      <c r="G33" s="86">
        <v>0</v>
      </c>
      <c r="H33" s="86">
        <f>G33*1.61</f>
        <v>0</v>
      </c>
      <c r="I33" s="86">
        <f t="shared" si="5"/>
        <v>153.25531914893617</v>
      </c>
      <c r="J33" s="87">
        <v>3</v>
      </c>
      <c r="K33" s="86">
        <f t="shared" si="0"/>
        <v>51.085106382978722</v>
      </c>
      <c r="L33" s="110" t="s">
        <v>211</v>
      </c>
      <c r="M33" s="88">
        <v>2</v>
      </c>
      <c r="N33" s="86">
        <f t="shared" si="1"/>
        <v>76.627659574468083</v>
      </c>
      <c r="P33" s="2"/>
      <c r="Q33" s="1"/>
    </row>
    <row r="34" spans="1:20" ht="37.5" customHeight="1" thickBot="1" x14ac:dyDescent="0.25">
      <c r="A34" s="89" t="s">
        <v>108</v>
      </c>
      <c r="B34" s="90">
        <v>1348</v>
      </c>
      <c r="C34" s="90">
        <v>1411</v>
      </c>
      <c r="D34" s="91">
        <f t="shared" si="2"/>
        <v>63</v>
      </c>
      <c r="E34" s="92">
        <f t="shared" si="3"/>
        <v>4.6735905044510383E-2</v>
      </c>
      <c r="F34" s="93">
        <f t="shared" si="4"/>
        <v>1476.9443620178042</v>
      </c>
      <c r="G34" s="94">
        <v>16</v>
      </c>
      <c r="H34" s="94">
        <f>G34*1.86</f>
        <v>29.76</v>
      </c>
      <c r="I34" s="94">
        <f t="shared" si="5"/>
        <v>1506.7043620178042</v>
      </c>
      <c r="J34" s="95">
        <v>9</v>
      </c>
      <c r="K34" s="94">
        <f t="shared" ref="K34:K52" si="6">I34/J34</f>
        <v>167.41159577975603</v>
      </c>
      <c r="L34" s="111"/>
      <c r="M34" s="96">
        <v>7</v>
      </c>
      <c r="N34" s="94">
        <f t="shared" ref="N34:N52" si="7">I34/M34</f>
        <v>215.24348028825776</v>
      </c>
      <c r="P34" s="2"/>
      <c r="Q34" s="1"/>
    </row>
    <row r="35" spans="1:20" ht="37.5" customHeight="1" x14ac:dyDescent="0.2">
      <c r="A35" s="81" t="s">
        <v>109</v>
      </c>
      <c r="B35" s="82">
        <v>695</v>
      </c>
      <c r="C35" s="82">
        <v>669</v>
      </c>
      <c r="D35" s="83">
        <f t="shared" si="2"/>
        <v>-26</v>
      </c>
      <c r="E35" s="84">
        <f t="shared" si="3"/>
        <v>-3.7410071942446041E-2</v>
      </c>
      <c r="F35" s="85">
        <f t="shared" si="4"/>
        <v>643.97266187050354</v>
      </c>
      <c r="G35" s="86">
        <v>0</v>
      </c>
      <c r="H35" s="86">
        <f>G35*1.52</f>
        <v>0</v>
      </c>
      <c r="I35" s="86">
        <f t="shared" si="5"/>
        <v>643.97266187050354</v>
      </c>
      <c r="J35" s="87">
        <v>2</v>
      </c>
      <c r="K35" s="86">
        <f t="shared" si="6"/>
        <v>321.98633093525177</v>
      </c>
      <c r="L35" s="110" t="s">
        <v>224</v>
      </c>
      <c r="M35" s="88">
        <v>3</v>
      </c>
      <c r="N35" s="86">
        <f t="shared" si="7"/>
        <v>214.65755395683451</v>
      </c>
      <c r="P35" s="2"/>
      <c r="Q35" s="1"/>
    </row>
    <row r="36" spans="1:20" ht="37.5" customHeight="1" x14ac:dyDescent="0.2">
      <c r="A36" s="9" t="s">
        <v>110</v>
      </c>
      <c r="B36" s="10">
        <v>852</v>
      </c>
      <c r="C36" s="10">
        <v>915</v>
      </c>
      <c r="D36" s="11">
        <f t="shared" si="2"/>
        <v>63</v>
      </c>
      <c r="E36" s="12">
        <f t="shared" si="3"/>
        <v>7.3943661971830985E-2</v>
      </c>
      <c r="F36" s="13">
        <f t="shared" si="4"/>
        <v>982.6584507042254</v>
      </c>
      <c r="G36" s="15">
        <v>178</v>
      </c>
      <c r="H36" s="15">
        <f>G36*1.66</f>
        <v>295.47999999999996</v>
      </c>
      <c r="I36" s="15">
        <f t="shared" si="5"/>
        <v>1278.1384507042253</v>
      </c>
      <c r="J36" s="14">
        <v>4</v>
      </c>
      <c r="K36" s="15">
        <f t="shared" si="6"/>
        <v>319.53461267605633</v>
      </c>
      <c r="L36" s="115"/>
      <c r="M36" s="68">
        <v>6</v>
      </c>
      <c r="N36" s="15">
        <f t="shared" si="7"/>
        <v>213.02307511737089</v>
      </c>
      <c r="P36" s="2"/>
      <c r="Q36" s="1"/>
    </row>
    <row r="37" spans="1:20" ht="37.5" customHeight="1" thickBot="1" x14ac:dyDescent="0.25">
      <c r="A37" s="89" t="s">
        <v>111</v>
      </c>
      <c r="B37" s="90">
        <v>99</v>
      </c>
      <c r="C37" s="90">
        <v>92</v>
      </c>
      <c r="D37" s="91">
        <f t="shared" si="2"/>
        <v>-7</v>
      </c>
      <c r="E37" s="92">
        <f t="shared" si="3"/>
        <v>-7.0707070707070704E-2</v>
      </c>
      <c r="F37" s="93">
        <f t="shared" si="4"/>
        <v>85.494949494949495</v>
      </c>
      <c r="G37" s="94">
        <v>1</v>
      </c>
      <c r="H37" s="94">
        <f>G37*1.33</f>
        <v>1.33</v>
      </c>
      <c r="I37" s="94">
        <f t="shared" si="5"/>
        <v>86.824949494949493</v>
      </c>
      <c r="J37" s="95">
        <v>1</v>
      </c>
      <c r="K37" s="94">
        <f t="shared" si="6"/>
        <v>86.824949494949493</v>
      </c>
      <c r="L37" s="111"/>
      <c r="M37" s="98">
        <v>1</v>
      </c>
      <c r="N37" s="94">
        <f t="shared" si="7"/>
        <v>86.824949494949493</v>
      </c>
      <c r="P37" s="2"/>
      <c r="Q37" s="1"/>
    </row>
    <row r="38" spans="1:20" ht="37.5" customHeight="1" thickBot="1" x14ac:dyDescent="0.25">
      <c r="A38" s="72" t="s">
        <v>72</v>
      </c>
      <c r="B38" s="73">
        <v>2156</v>
      </c>
      <c r="C38" s="73">
        <v>2173</v>
      </c>
      <c r="D38" s="74">
        <f t="shared" si="2"/>
        <v>17</v>
      </c>
      <c r="E38" s="75">
        <f t="shared" si="3"/>
        <v>7.8849721706864568E-3</v>
      </c>
      <c r="F38" s="76">
        <f t="shared" si="4"/>
        <v>2190.1340445269016</v>
      </c>
      <c r="G38" s="77">
        <v>30</v>
      </c>
      <c r="H38" s="77">
        <f>G38*1.65</f>
        <v>49.5</v>
      </c>
      <c r="I38" s="77">
        <f t="shared" si="5"/>
        <v>2239.6340445269016</v>
      </c>
      <c r="J38" s="78">
        <v>9</v>
      </c>
      <c r="K38" s="77">
        <f t="shared" si="6"/>
        <v>248.84822716965573</v>
      </c>
      <c r="L38" s="112"/>
      <c r="M38" s="80">
        <v>10</v>
      </c>
      <c r="N38" s="77">
        <f t="shared" si="7"/>
        <v>223.96340445269016</v>
      </c>
      <c r="P38" s="2"/>
      <c r="Q38" s="1"/>
    </row>
    <row r="39" spans="1:20" ht="37.5" customHeight="1" thickBot="1" x14ac:dyDescent="0.25">
      <c r="A39" s="72" t="s">
        <v>74</v>
      </c>
      <c r="B39" s="73">
        <v>459</v>
      </c>
      <c r="C39" s="73">
        <v>458</v>
      </c>
      <c r="D39" s="74">
        <f t="shared" si="2"/>
        <v>-1</v>
      </c>
      <c r="E39" s="75">
        <f t="shared" si="3"/>
        <v>-2.1786492374727671E-3</v>
      </c>
      <c r="F39" s="76">
        <f t="shared" si="4"/>
        <v>457.00217864923746</v>
      </c>
      <c r="G39" s="77">
        <v>32</v>
      </c>
      <c r="H39" s="77">
        <f>G39*1.8</f>
        <v>57.6</v>
      </c>
      <c r="I39" s="77">
        <f t="shared" si="5"/>
        <v>514.60217864923743</v>
      </c>
      <c r="J39" s="78">
        <v>7</v>
      </c>
      <c r="K39" s="77">
        <f t="shared" si="6"/>
        <v>73.514596949891057</v>
      </c>
      <c r="L39" s="113"/>
      <c r="M39" s="78">
        <v>7</v>
      </c>
      <c r="N39" s="77">
        <f t="shared" si="7"/>
        <v>73.514596949891057</v>
      </c>
      <c r="P39" s="2"/>
      <c r="Q39" s="1"/>
    </row>
    <row r="40" spans="1:20" ht="37.5" customHeight="1" thickBot="1" x14ac:dyDescent="0.25">
      <c r="A40" s="72" t="s">
        <v>75</v>
      </c>
      <c r="B40" s="73">
        <v>241</v>
      </c>
      <c r="C40" s="73">
        <v>229</v>
      </c>
      <c r="D40" s="74">
        <f t="shared" si="2"/>
        <v>-12</v>
      </c>
      <c r="E40" s="75">
        <f t="shared" si="3"/>
        <v>-4.9792531120331947E-2</v>
      </c>
      <c r="F40" s="76">
        <f t="shared" si="4"/>
        <v>217.59751037344398</v>
      </c>
      <c r="G40" s="77">
        <v>14</v>
      </c>
      <c r="H40" s="77">
        <f>G40*1.78</f>
        <v>24.92</v>
      </c>
      <c r="I40" s="77">
        <f t="shared" si="5"/>
        <v>242.517510373444</v>
      </c>
      <c r="J40" s="78">
        <v>5</v>
      </c>
      <c r="K40" s="77">
        <f t="shared" si="6"/>
        <v>48.503502074688797</v>
      </c>
      <c r="L40" s="113"/>
      <c r="M40" s="80">
        <v>7</v>
      </c>
      <c r="N40" s="77">
        <f t="shared" si="7"/>
        <v>34.645358624777714</v>
      </c>
      <c r="P40" s="2"/>
      <c r="Q40" s="1"/>
    </row>
    <row r="41" spans="1:20" ht="37.5" customHeight="1" thickBot="1" x14ac:dyDescent="0.25">
      <c r="A41" s="72" t="s">
        <v>76</v>
      </c>
      <c r="B41" s="73">
        <v>611</v>
      </c>
      <c r="C41" s="73">
        <v>622</v>
      </c>
      <c r="D41" s="74">
        <f t="shared" si="2"/>
        <v>11</v>
      </c>
      <c r="E41" s="75">
        <f t="shared" si="3"/>
        <v>1.8003273322422259E-2</v>
      </c>
      <c r="F41" s="76">
        <f t="shared" si="4"/>
        <v>633.19803600654666</v>
      </c>
      <c r="G41" s="77">
        <v>28</v>
      </c>
      <c r="H41" s="77">
        <f>G41*1.84</f>
        <v>51.52</v>
      </c>
      <c r="I41" s="77">
        <f t="shared" si="5"/>
        <v>684.71803600654664</v>
      </c>
      <c r="J41" s="78">
        <v>7</v>
      </c>
      <c r="K41" s="77">
        <f t="shared" si="6"/>
        <v>97.816862286649524</v>
      </c>
      <c r="L41" s="113"/>
      <c r="M41" s="78">
        <v>7</v>
      </c>
      <c r="N41" s="77">
        <f t="shared" si="7"/>
        <v>97.816862286649524</v>
      </c>
      <c r="P41" s="2"/>
      <c r="Q41" s="1"/>
    </row>
    <row r="42" spans="1:20" ht="37.5" customHeight="1" thickBot="1" x14ac:dyDescent="0.25">
      <c r="A42" s="72" t="s">
        <v>78</v>
      </c>
      <c r="B42" s="73">
        <v>1363</v>
      </c>
      <c r="C42" s="73">
        <v>1381</v>
      </c>
      <c r="D42" s="74">
        <f t="shared" si="2"/>
        <v>18</v>
      </c>
      <c r="E42" s="75">
        <f t="shared" si="3"/>
        <v>1.3206162876008804E-2</v>
      </c>
      <c r="F42" s="76">
        <f t="shared" si="4"/>
        <v>1399.2377109317681</v>
      </c>
      <c r="G42" s="77">
        <v>14</v>
      </c>
      <c r="H42" s="77">
        <f>G42*1.8</f>
        <v>25.2</v>
      </c>
      <c r="I42" s="77">
        <f t="shared" si="5"/>
        <v>1424.4377109317682</v>
      </c>
      <c r="J42" s="78">
        <v>12</v>
      </c>
      <c r="K42" s="77">
        <f t="shared" si="6"/>
        <v>118.70314257764734</v>
      </c>
      <c r="L42" s="113"/>
      <c r="M42" s="80">
        <v>9</v>
      </c>
      <c r="N42" s="77">
        <f t="shared" si="7"/>
        <v>158.27085677019647</v>
      </c>
      <c r="P42" s="2"/>
      <c r="Q42" s="1"/>
    </row>
    <row r="43" spans="1:20" ht="37.5" customHeight="1" thickBot="1" x14ac:dyDescent="0.25">
      <c r="A43" s="72" t="s">
        <v>80</v>
      </c>
      <c r="B43" s="73">
        <v>303</v>
      </c>
      <c r="C43" s="73">
        <v>281</v>
      </c>
      <c r="D43" s="74">
        <f t="shared" si="2"/>
        <v>-22</v>
      </c>
      <c r="E43" s="75">
        <f t="shared" si="3"/>
        <v>-7.2607260726072612E-2</v>
      </c>
      <c r="F43" s="76">
        <f t="shared" si="4"/>
        <v>260.59735973597361</v>
      </c>
      <c r="G43" s="77">
        <v>7</v>
      </c>
      <c r="H43" s="77">
        <f>G43*1.79</f>
        <v>12.530000000000001</v>
      </c>
      <c r="I43" s="77">
        <f t="shared" si="5"/>
        <v>273.12735973597364</v>
      </c>
      <c r="J43" s="78">
        <v>5</v>
      </c>
      <c r="K43" s="77">
        <f t="shared" si="6"/>
        <v>54.625471947194725</v>
      </c>
      <c r="L43" s="114"/>
      <c r="M43" s="80">
        <v>7</v>
      </c>
      <c r="N43" s="77">
        <f t="shared" si="7"/>
        <v>39.018194247996234</v>
      </c>
      <c r="P43" s="2"/>
      <c r="Q43" s="1"/>
    </row>
    <row r="44" spans="1:20" ht="37.5" customHeight="1" x14ac:dyDescent="0.2">
      <c r="A44" s="81" t="s">
        <v>112</v>
      </c>
      <c r="B44" s="82">
        <v>797</v>
      </c>
      <c r="C44" s="82">
        <v>776</v>
      </c>
      <c r="D44" s="83">
        <f t="shared" si="2"/>
        <v>-21</v>
      </c>
      <c r="E44" s="84">
        <f t="shared" si="3"/>
        <v>-2.6348808030112924E-2</v>
      </c>
      <c r="F44" s="85">
        <f t="shared" si="4"/>
        <v>755.5533249686323</v>
      </c>
      <c r="G44" s="86">
        <v>1</v>
      </c>
      <c r="H44" s="86">
        <f>G44*1.32</f>
        <v>1.32</v>
      </c>
      <c r="I44" s="86">
        <f t="shared" si="5"/>
        <v>756.87332496863235</v>
      </c>
      <c r="J44" s="87">
        <v>2</v>
      </c>
      <c r="K44" s="86">
        <f t="shared" si="6"/>
        <v>378.43666248431617</v>
      </c>
      <c r="L44" s="110" t="s">
        <v>212</v>
      </c>
      <c r="M44" s="99">
        <v>2</v>
      </c>
      <c r="N44" s="86">
        <f t="shared" si="7"/>
        <v>378.43666248431617</v>
      </c>
      <c r="P44" s="2"/>
      <c r="Q44" s="1"/>
    </row>
    <row r="45" spans="1:20" ht="37.5" customHeight="1" x14ac:dyDescent="0.2">
      <c r="A45" s="9" t="s">
        <v>113</v>
      </c>
      <c r="B45" s="10">
        <v>1289</v>
      </c>
      <c r="C45" s="10">
        <v>1274</v>
      </c>
      <c r="D45" s="11">
        <f t="shared" si="2"/>
        <v>-15</v>
      </c>
      <c r="E45" s="12">
        <f t="shared" si="3"/>
        <v>-1.1636927851047323E-2</v>
      </c>
      <c r="F45" s="13">
        <f t="shared" si="4"/>
        <v>1259.1745539177657</v>
      </c>
      <c r="G45" s="15">
        <v>2</v>
      </c>
      <c r="H45" s="15">
        <f>G45*1.34</f>
        <v>2.68</v>
      </c>
      <c r="I45" s="15">
        <f t="shared" si="5"/>
        <v>1261.8545539177658</v>
      </c>
      <c r="J45" s="14">
        <v>3</v>
      </c>
      <c r="K45" s="15">
        <f t="shared" si="6"/>
        <v>420.61818463925528</v>
      </c>
      <c r="L45" s="115"/>
      <c r="M45" s="69">
        <v>3</v>
      </c>
      <c r="N45" s="15">
        <f t="shared" si="7"/>
        <v>420.61818463925528</v>
      </c>
      <c r="P45" s="2"/>
      <c r="Q45" s="1"/>
    </row>
    <row r="46" spans="1:20" ht="37.5" customHeight="1" x14ac:dyDescent="0.2">
      <c r="A46" s="9" t="s">
        <v>114</v>
      </c>
      <c r="B46" s="10">
        <v>2401</v>
      </c>
      <c r="C46" s="10">
        <v>2354</v>
      </c>
      <c r="D46" s="11">
        <f t="shared" si="2"/>
        <v>-47</v>
      </c>
      <c r="E46" s="12">
        <f t="shared" si="3"/>
        <v>-1.9575177009579343E-2</v>
      </c>
      <c r="F46" s="13">
        <f t="shared" si="4"/>
        <v>2307.9200333194503</v>
      </c>
      <c r="G46" s="15">
        <v>6</v>
      </c>
      <c r="H46" s="15">
        <f>G46*1.61</f>
        <v>9.66</v>
      </c>
      <c r="I46" s="15">
        <f t="shared" si="5"/>
        <v>2317.5800333194502</v>
      </c>
      <c r="J46" s="14">
        <v>5</v>
      </c>
      <c r="K46" s="15">
        <f t="shared" si="6"/>
        <v>463.51600666389004</v>
      </c>
      <c r="L46" s="115"/>
      <c r="M46" s="69">
        <v>5</v>
      </c>
      <c r="N46" s="15">
        <f t="shared" si="7"/>
        <v>463.51600666389004</v>
      </c>
      <c r="P46" s="2"/>
      <c r="Q46" s="1"/>
      <c r="T46" s="1"/>
    </row>
    <row r="47" spans="1:20" ht="37.5" customHeight="1" thickBot="1" x14ac:dyDescent="0.25">
      <c r="A47" s="89" t="s">
        <v>115</v>
      </c>
      <c r="B47" s="90">
        <v>2121</v>
      </c>
      <c r="C47" s="90">
        <v>2191</v>
      </c>
      <c r="D47" s="91">
        <f t="shared" si="2"/>
        <v>70</v>
      </c>
      <c r="E47" s="92">
        <f t="shared" si="3"/>
        <v>3.3003300330033E-2</v>
      </c>
      <c r="F47" s="93">
        <f t="shared" si="4"/>
        <v>2263.310231023102</v>
      </c>
      <c r="G47" s="94">
        <v>15</v>
      </c>
      <c r="H47" s="94">
        <f>G47*1.62</f>
        <v>24.3</v>
      </c>
      <c r="I47" s="94">
        <f t="shared" si="5"/>
        <v>2287.6102310231022</v>
      </c>
      <c r="J47" s="95">
        <v>5</v>
      </c>
      <c r="K47" s="94">
        <f t="shared" si="6"/>
        <v>457.52204620462044</v>
      </c>
      <c r="L47" s="111"/>
      <c r="M47" s="98">
        <v>5</v>
      </c>
      <c r="N47" s="94">
        <f t="shared" si="7"/>
        <v>457.52204620462044</v>
      </c>
      <c r="P47" s="2"/>
      <c r="Q47" s="1"/>
      <c r="T47" s="1"/>
    </row>
    <row r="48" spans="1:20" ht="37.5" customHeight="1" thickBot="1" x14ac:dyDescent="0.25">
      <c r="A48" s="72" t="s">
        <v>87</v>
      </c>
      <c r="B48" s="73">
        <v>4410</v>
      </c>
      <c r="C48" s="73">
        <v>5154</v>
      </c>
      <c r="D48" s="74">
        <f t="shared" si="2"/>
        <v>744</v>
      </c>
      <c r="E48" s="75">
        <f t="shared" si="3"/>
        <v>0.16870748299319727</v>
      </c>
      <c r="F48" s="76">
        <f t="shared" si="4"/>
        <v>6023.5183673469392</v>
      </c>
      <c r="G48" s="77">
        <v>50</v>
      </c>
      <c r="H48" s="77">
        <f>G48*1.76</f>
        <v>88</v>
      </c>
      <c r="I48" s="77">
        <f t="shared" si="5"/>
        <v>6111.5183673469392</v>
      </c>
      <c r="J48" s="78">
        <v>14</v>
      </c>
      <c r="K48" s="77">
        <f t="shared" si="6"/>
        <v>436.53702623906707</v>
      </c>
      <c r="L48" s="112"/>
      <c r="M48" s="79">
        <v>14</v>
      </c>
      <c r="N48" s="77">
        <f t="shared" si="7"/>
        <v>436.53702623906707</v>
      </c>
      <c r="P48" s="2"/>
      <c r="Q48" s="5"/>
    </row>
    <row r="49" spans="1:17" ht="37.5" customHeight="1" thickBot="1" x14ac:dyDescent="0.25">
      <c r="A49" s="72" t="s">
        <v>90</v>
      </c>
      <c r="B49" s="73">
        <v>1399</v>
      </c>
      <c r="C49" s="73">
        <v>1442</v>
      </c>
      <c r="D49" s="74">
        <f t="shared" si="2"/>
        <v>43</v>
      </c>
      <c r="E49" s="75">
        <f t="shared" si="3"/>
        <v>3.0736240171551108E-2</v>
      </c>
      <c r="F49" s="76">
        <f t="shared" si="4"/>
        <v>1486.3216583273768</v>
      </c>
      <c r="G49" s="77">
        <v>85</v>
      </c>
      <c r="H49" s="77">
        <f>G49*1.79</f>
        <v>152.15</v>
      </c>
      <c r="I49" s="77">
        <f t="shared" si="5"/>
        <v>1638.4716583273769</v>
      </c>
      <c r="J49" s="78">
        <v>9</v>
      </c>
      <c r="K49" s="77">
        <f t="shared" si="6"/>
        <v>182.05240648081966</v>
      </c>
      <c r="L49" s="113"/>
      <c r="M49" s="78">
        <v>9</v>
      </c>
      <c r="N49" s="77">
        <f t="shared" si="7"/>
        <v>182.05240648081966</v>
      </c>
      <c r="P49" s="2"/>
      <c r="Q49" s="1"/>
    </row>
    <row r="50" spans="1:17" ht="37.5" customHeight="1" thickBot="1" x14ac:dyDescent="0.25">
      <c r="A50" s="72" t="s">
        <v>91</v>
      </c>
      <c r="B50" s="73">
        <v>1006</v>
      </c>
      <c r="C50" s="73">
        <v>1019</v>
      </c>
      <c r="D50" s="74">
        <f t="shared" si="2"/>
        <v>13</v>
      </c>
      <c r="E50" s="75">
        <f t="shared" si="3"/>
        <v>1.2922465208747515E-2</v>
      </c>
      <c r="F50" s="76">
        <f t="shared" si="4"/>
        <v>1032.1679920477138</v>
      </c>
      <c r="G50" s="77">
        <v>31</v>
      </c>
      <c r="H50" s="77">
        <f>G50*1.8</f>
        <v>55.800000000000004</v>
      </c>
      <c r="I50" s="77">
        <f t="shared" si="5"/>
        <v>1087.9679920477138</v>
      </c>
      <c r="J50" s="78">
        <v>9</v>
      </c>
      <c r="K50" s="77">
        <f t="shared" si="6"/>
        <v>120.88533244974597</v>
      </c>
      <c r="L50" s="114"/>
      <c r="M50" s="80">
        <v>8</v>
      </c>
      <c r="N50" s="77">
        <f t="shared" si="7"/>
        <v>135.99599900596422</v>
      </c>
      <c r="P50" s="2"/>
      <c r="Q50" s="1"/>
    </row>
    <row r="51" spans="1:17" ht="37.5" customHeight="1" x14ac:dyDescent="0.2">
      <c r="A51" s="81" t="s">
        <v>116</v>
      </c>
      <c r="B51" s="82">
        <v>165</v>
      </c>
      <c r="C51" s="82">
        <v>143</v>
      </c>
      <c r="D51" s="83">
        <f t="shared" si="2"/>
        <v>-22</v>
      </c>
      <c r="E51" s="84">
        <f t="shared" si="3"/>
        <v>-0.13333333333333333</v>
      </c>
      <c r="F51" s="85">
        <f t="shared" si="4"/>
        <v>123.93333333333334</v>
      </c>
      <c r="G51" s="86">
        <v>0</v>
      </c>
      <c r="H51" s="86">
        <f>G51*1.25</f>
        <v>0</v>
      </c>
      <c r="I51" s="86">
        <f t="shared" si="5"/>
        <v>123.93333333333334</v>
      </c>
      <c r="J51" s="87">
        <v>2</v>
      </c>
      <c r="K51" s="86">
        <f t="shared" si="6"/>
        <v>61.966666666666669</v>
      </c>
      <c r="L51" s="110" t="s">
        <v>213</v>
      </c>
      <c r="M51" s="99">
        <v>2</v>
      </c>
      <c r="N51" s="86">
        <f t="shared" si="7"/>
        <v>61.966666666666669</v>
      </c>
      <c r="P51" s="2"/>
      <c r="Q51" s="1"/>
    </row>
    <row r="52" spans="1:17" ht="37.5" customHeight="1" thickBot="1" x14ac:dyDescent="0.25">
      <c r="A52" s="89" t="s">
        <v>117</v>
      </c>
      <c r="B52" s="90">
        <v>653</v>
      </c>
      <c r="C52" s="90">
        <v>661</v>
      </c>
      <c r="D52" s="91">
        <f t="shared" si="2"/>
        <v>8</v>
      </c>
      <c r="E52" s="92">
        <f t="shared" si="3"/>
        <v>1.2251148545176111E-2</v>
      </c>
      <c r="F52" s="93">
        <f t="shared" si="4"/>
        <v>669.0980091883614</v>
      </c>
      <c r="G52" s="94">
        <v>7</v>
      </c>
      <c r="H52" s="94">
        <f>G52*1.9</f>
        <v>13.299999999999999</v>
      </c>
      <c r="I52" s="94">
        <f t="shared" si="5"/>
        <v>682.39800918836136</v>
      </c>
      <c r="J52" s="95">
        <v>5</v>
      </c>
      <c r="K52" s="94">
        <f t="shared" si="6"/>
        <v>136.47960183767228</v>
      </c>
      <c r="L52" s="111"/>
      <c r="M52" s="98">
        <v>5</v>
      </c>
      <c r="N52" s="94">
        <f t="shared" si="7"/>
        <v>136.47960183767228</v>
      </c>
      <c r="P52" s="2"/>
      <c r="Q52" s="1"/>
    </row>
    <row r="53" spans="1:17" ht="18.75" customHeight="1" x14ac:dyDescent="0.2">
      <c r="A53" s="109"/>
      <c r="B53" s="109"/>
      <c r="C53" s="109"/>
      <c r="D53" s="109"/>
      <c r="E53" s="109"/>
      <c r="F53" s="109"/>
      <c r="G53" s="109"/>
      <c r="H53" s="109"/>
      <c r="I53" s="109"/>
      <c r="J53" s="109"/>
      <c r="K53" s="109"/>
      <c r="L53" s="109"/>
      <c r="M53" s="109"/>
      <c r="N53" s="109"/>
    </row>
    <row r="54" spans="1:17" ht="27.75" customHeight="1" x14ac:dyDescent="0.2">
      <c r="A54" s="109"/>
      <c r="B54" s="109"/>
      <c r="C54" s="109"/>
      <c r="D54" s="109"/>
      <c r="E54" s="109"/>
      <c r="F54" s="109"/>
      <c r="G54" s="109"/>
      <c r="H54" s="109"/>
      <c r="I54" s="109"/>
      <c r="J54" s="109"/>
      <c r="K54" s="109"/>
      <c r="L54" s="109"/>
      <c r="M54" s="109"/>
      <c r="N54" s="109"/>
    </row>
  </sheetData>
  <sheetProtection algorithmName="SHA-512" hashValue="Ofaedx7kcGKyO9JJdQtWn0+LsR07tqOG0Rh9URSPhXtlkKlXtsfai+Zk7JPFwIJMKeVft4eH949OPdtE0xAZbQ==" saltValue="xxKftG04l2hqMmAFGEpv9w==" spinCount="100000" sheet="1" objects="1" scenarios="1" sort="0" autoFilter="0"/>
  <autoFilter ref="A1:N53" xr:uid="{74678C84-F422-456D-977A-6CE14EF8E028}"/>
  <mergeCells count="25">
    <mergeCell ref="R12:S12"/>
    <mergeCell ref="T12:U12"/>
    <mergeCell ref="P1:U1"/>
    <mergeCell ref="S7:T7"/>
    <mergeCell ref="S8:T8"/>
    <mergeCell ref="S9:T9"/>
    <mergeCell ref="S10:T10"/>
    <mergeCell ref="S11:T11"/>
    <mergeCell ref="S2:T2"/>
    <mergeCell ref="S3:T3"/>
    <mergeCell ref="S4:T4"/>
    <mergeCell ref="S5:T5"/>
    <mergeCell ref="S6:T6"/>
    <mergeCell ref="L51:L52"/>
    <mergeCell ref="L2:L5"/>
    <mergeCell ref="L6:L8"/>
    <mergeCell ref="L10:L15"/>
    <mergeCell ref="L17:L18"/>
    <mergeCell ref="L19:L30"/>
    <mergeCell ref="L31:L32"/>
    <mergeCell ref="L33:L34"/>
    <mergeCell ref="L35:L37"/>
    <mergeCell ref="L38:L43"/>
    <mergeCell ref="L44:L47"/>
    <mergeCell ref="L48:L50"/>
  </mergeCells>
  <conditionalFormatting sqref="E2:E52">
    <cfRule type="dataBar" priority="3">
      <dataBar>
        <cfvo type="min"/>
        <cfvo type="max"/>
        <color rgb="FF63C384"/>
      </dataBar>
      <extLst>
        <ext xmlns:x14="http://schemas.microsoft.com/office/spreadsheetml/2009/9/main" uri="{B025F937-C7B1-47D3-B67F-A62EFF666E3E}">
          <x14:id>{709E8A4B-07F4-427D-9B80-7D4371FDCA21}</x14:id>
        </ext>
      </extLst>
    </cfRule>
  </conditionalFormatting>
  <conditionalFormatting sqref="K2:K52">
    <cfRule type="colorScale" priority="2">
      <colorScale>
        <cfvo type="num" val="0"/>
        <cfvo type="num" val="400"/>
        <cfvo type="num" val="1500"/>
        <color theme="9"/>
        <color rgb="FFFFFF00"/>
        <color theme="5"/>
      </colorScale>
    </cfRule>
  </conditionalFormatting>
  <conditionalFormatting sqref="N2:N52">
    <cfRule type="colorScale" priority="1">
      <colorScale>
        <cfvo type="num" val="0"/>
        <cfvo type="num" val="400"/>
        <cfvo type="num" val="1500"/>
        <color theme="9"/>
        <color rgb="FFFFFF00"/>
        <color theme="5"/>
      </colorScale>
    </cfRule>
  </conditionalFormatting>
  <pageMargins left="0.7" right="0.7" top="0.75" bottom="0.75" header="0.3" footer="0.3"/>
  <pageSetup paperSize="8"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dataBar" id="{709E8A4B-07F4-427D-9B80-7D4371FDCA21}">
            <x14:dataBar minLength="0" maxLength="100" border="1" negativeBarBorderColorSameAsPositive="0">
              <x14:cfvo type="autoMin"/>
              <x14:cfvo type="autoMax"/>
              <x14:borderColor rgb="FF63C384"/>
              <x14:negativeFillColor rgb="FFFF0000"/>
              <x14:negativeBorderColor rgb="FFFF0000"/>
              <x14:axisColor rgb="FF000000"/>
            </x14:dataBar>
          </x14:cfRule>
          <xm:sqref>E2:E52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3E1D3-BC5E-4493-AC8E-CCC88AE79F3E}">
  <dimension ref="A3:D25"/>
  <sheetViews>
    <sheetView workbookViewId="0">
      <selection activeCell="A8" sqref="A8:D11"/>
    </sheetView>
  </sheetViews>
  <sheetFormatPr defaultColWidth="18" defaultRowHeight="18.75" customHeight="1" x14ac:dyDescent="0.2"/>
  <cols>
    <col min="1" max="16384" width="18" style="67"/>
  </cols>
  <sheetData>
    <row r="3" spans="1:4" ht="18.75" customHeight="1" x14ac:dyDescent="0.2">
      <c r="A3" s="123" t="s">
        <v>202</v>
      </c>
      <c r="B3" s="123"/>
      <c r="C3" s="123"/>
      <c r="D3" s="123"/>
    </row>
    <row r="4" spans="1:4" ht="18.75" customHeight="1" x14ac:dyDescent="0.2">
      <c r="A4" s="123"/>
      <c r="B4" s="123"/>
      <c r="C4" s="123"/>
      <c r="D4" s="123"/>
    </row>
    <row r="5" spans="1:4" ht="18.75" customHeight="1" x14ac:dyDescent="0.2">
      <c r="A5" s="123"/>
      <c r="B5" s="123"/>
      <c r="C5" s="123"/>
      <c r="D5" s="123"/>
    </row>
    <row r="6" spans="1:4" ht="18.75" customHeight="1" x14ac:dyDescent="0.2">
      <c r="A6" s="123"/>
      <c r="B6" s="123"/>
      <c r="C6" s="123"/>
      <c r="D6" s="123"/>
    </row>
    <row r="8" spans="1:4" ht="18.75" customHeight="1" x14ac:dyDescent="0.2">
      <c r="A8" s="123" t="s">
        <v>204</v>
      </c>
      <c r="B8" s="123"/>
      <c r="C8" s="123"/>
      <c r="D8" s="123"/>
    </row>
    <row r="9" spans="1:4" ht="18.75" customHeight="1" x14ac:dyDescent="0.2">
      <c r="A9" s="123"/>
      <c r="B9" s="123"/>
      <c r="C9" s="123"/>
      <c r="D9" s="123"/>
    </row>
    <row r="10" spans="1:4" ht="18.75" customHeight="1" x14ac:dyDescent="0.2">
      <c r="A10" s="123"/>
      <c r="B10" s="123"/>
      <c r="C10" s="123"/>
      <c r="D10" s="123"/>
    </row>
    <row r="11" spans="1:4" ht="18.75" customHeight="1" x14ac:dyDescent="0.2">
      <c r="A11" s="123"/>
      <c r="B11" s="123"/>
      <c r="C11" s="123"/>
      <c r="D11" s="123"/>
    </row>
    <row r="13" spans="1:4" ht="18.75" customHeight="1" x14ac:dyDescent="0.2">
      <c r="A13" s="123" t="s">
        <v>203</v>
      </c>
      <c r="B13" s="123"/>
      <c r="C13" s="123"/>
      <c r="D13" s="123"/>
    </row>
    <row r="14" spans="1:4" ht="18.75" customHeight="1" x14ac:dyDescent="0.2">
      <c r="A14" s="123"/>
      <c r="B14" s="123"/>
      <c r="C14" s="123"/>
      <c r="D14" s="123"/>
    </row>
    <row r="15" spans="1:4" ht="18.75" customHeight="1" x14ac:dyDescent="0.2">
      <c r="A15" s="123"/>
      <c r="B15" s="123"/>
      <c r="C15" s="123"/>
      <c r="D15" s="123"/>
    </row>
    <row r="16" spans="1:4" ht="18.75" customHeight="1" x14ac:dyDescent="0.2">
      <c r="A16" s="123"/>
      <c r="B16" s="123"/>
      <c r="C16" s="123"/>
      <c r="D16" s="123"/>
    </row>
    <row r="17" spans="1:4" ht="18.75" customHeight="1" x14ac:dyDescent="0.2">
      <c r="A17" s="123"/>
      <c r="B17" s="123"/>
      <c r="C17" s="123"/>
      <c r="D17" s="123"/>
    </row>
    <row r="18" spans="1:4" ht="18.75" customHeight="1" x14ac:dyDescent="0.2">
      <c r="A18" s="123"/>
      <c r="B18" s="123"/>
      <c r="C18" s="123"/>
      <c r="D18" s="123"/>
    </row>
    <row r="19" spans="1:4" ht="18.75" customHeight="1" x14ac:dyDescent="0.2">
      <c r="A19" s="123"/>
      <c r="B19" s="123"/>
      <c r="C19" s="123"/>
      <c r="D19" s="123"/>
    </row>
    <row r="21" spans="1:4" ht="18.75" customHeight="1" x14ac:dyDescent="0.2">
      <c r="A21" s="123" t="s">
        <v>215</v>
      </c>
      <c r="B21" s="123"/>
      <c r="C21" s="123"/>
      <c r="D21" s="123"/>
    </row>
    <row r="22" spans="1:4" ht="18.75" customHeight="1" x14ac:dyDescent="0.2">
      <c r="A22" s="123"/>
      <c r="B22" s="123"/>
      <c r="C22" s="123"/>
      <c r="D22" s="123"/>
    </row>
    <row r="23" spans="1:4" ht="18.75" customHeight="1" x14ac:dyDescent="0.2">
      <c r="A23" s="123"/>
      <c r="B23" s="123"/>
      <c r="C23" s="123"/>
      <c r="D23" s="123"/>
    </row>
    <row r="24" spans="1:4" ht="18.75" customHeight="1" x14ac:dyDescent="0.2">
      <c r="A24"/>
      <c r="B24"/>
      <c r="C24"/>
      <c r="D24"/>
    </row>
    <row r="25" spans="1:4" ht="18.75" customHeight="1" x14ac:dyDescent="0.2">
      <c r="A25"/>
      <c r="B25"/>
      <c r="C25"/>
      <c r="D25"/>
    </row>
  </sheetData>
  <sheetProtection algorithmName="SHA-512" hashValue="ShOrs0079WoAFdJiWSqTJZbVNqQJOMvHunBpygnWvEAOa3kyJDYcvuFbRU0LA4b9OvJl2jqvBSGoQ3EnUavoxg==" saltValue="0gCPC4sDWgPSOaflZofviA==" spinCount="100000" sheet="1" objects="1" scenarios="1"/>
  <mergeCells count="4">
    <mergeCell ref="A3:D6"/>
    <mergeCell ref="A8:D11"/>
    <mergeCell ref="A13:D19"/>
    <mergeCell ref="A21:D23"/>
  </mergeCells>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316D0-607D-4CB0-8289-5F30438703E8}">
  <dimension ref="A2:I143"/>
  <sheetViews>
    <sheetView showGridLines="0" showOutlineSymbols="0" workbookViewId="0">
      <selection sqref="A1:XFD1048576"/>
    </sheetView>
  </sheetViews>
  <sheetFormatPr defaultRowHeight="18.75" customHeight="1" x14ac:dyDescent="0.2"/>
  <cols>
    <col min="1" max="1" width="28.140625" customWidth="1"/>
    <col min="2" max="2" width="24" customWidth="1"/>
    <col min="3" max="3" width="24" style="19" customWidth="1"/>
    <col min="4" max="4" width="24" style="20" customWidth="1"/>
    <col min="5" max="5" width="44.85546875" customWidth="1"/>
    <col min="6" max="6" width="24" customWidth="1"/>
    <col min="7" max="7" width="42.28515625" customWidth="1"/>
    <col min="8" max="256" width="24" customWidth="1"/>
    <col min="257" max="257" width="28.140625" customWidth="1"/>
    <col min="258" max="260" width="24" customWidth="1"/>
    <col min="261" max="261" width="44.85546875" customWidth="1"/>
    <col min="262" max="262" width="24" customWidth="1"/>
    <col min="263" max="263" width="42.28515625" customWidth="1"/>
    <col min="264" max="512" width="24" customWidth="1"/>
    <col min="513" max="513" width="28.140625" customWidth="1"/>
    <col min="514" max="516" width="24" customWidth="1"/>
    <col min="517" max="517" width="44.85546875" customWidth="1"/>
    <col min="518" max="518" width="24" customWidth="1"/>
    <col min="519" max="519" width="42.28515625" customWidth="1"/>
    <col min="520" max="768" width="24" customWidth="1"/>
    <col min="769" max="769" width="28.140625" customWidth="1"/>
    <col min="770" max="772" width="24" customWidth="1"/>
    <col min="773" max="773" width="44.85546875" customWidth="1"/>
    <col min="774" max="774" width="24" customWidth="1"/>
    <col min="775" max="775" width="42.28515625" customWidth="1"/>
    <col min="776" max="1024" width="24" customWidth="1"/>
    <col min="1025" max="1025" width="28.140625" customWidth="1"/>
    <col min="1026" max="1028" width="24" customWidth="1"/>
    <col min="1029" max="1029" width="44.85546875" customWidth="1"/>
    <col min="1030" max="1030" width="24" customWidth="1"/>
    <col min="1031" max="1031" width="42.28515625" customWidth="1"/>
    <col min="1032" max="1280" width="24" customWidth="1"/>
    <col min="1281" max="1281" width="28.140625" customWidth="1"/>
    <col min="1282" max="1284" width="24" customWidth="1"/>
    <col min="1285" max="1285" width="44.85546875" customWidth="1"/>
    <col min="1286" max="1286" width="24" customWidth="1"/>
    <col min="1287" max="1287" width="42.28515625" customWidth="1"/>
    <col min="1288" max="1536" width="24" customWidth="1"/>
    <col min="1537" max="1537" width="28.140625" customWidth="1"/>
    <col min="1538" max="1540" width="24" customWidth="1"/>
    <col min="1541" max="1541" width="44.85546875" customWidth="1"/>
    <col min="1542" max="1542" width="24" customWidth="1"/>
    <col min="1543" max="1543" width="42.28515625" customWidth="1"/>
    <col min="1544" max="1792" width="24" customWidth="1"/>
    <col min="1793" max="1793" width="28.140625" customWidth="1"/>
    <col min="1794" max="1796" width="24" customWidth="1"/>
    <col min="1797" max="1797" width="44.85546875" customWidth="1"/>
    <col min="1798" max="1798" width="24" customWidth="1"/>
    <col min="1799" max="1799" width="42.28515625" customWidth="1"/>
    <col min="1800" max="2048" width="24" customWidth="1"/>
    <col min="2049" max="2049" width="28.140625" customWidth="1"/>
    <col min="2050" max="2052" width="24" customWidth="1"/>
    <col min="2053" max="2053" width="44.85546875" customWidth="1"/>
    <col min="2054" max="2054" width="24" customWidth="1"/>
    <col min="2055" max="2055" width="42.28515625" customWidth="1"/>
    <col min="2056" max="2304" width="24" customWidth="1"/>
    <col min="2305" max="2305" width="28.140625" customWidth="1"/>
    <col min="2306" max="2308" width="24" customWidth="1"/>
    <col min="2309" max="2309" width="44.85546875" customWidth="1"/>
    <col min="2310" max="2310" width="24" customWidth="1"/>
    <col min="2311" max="2311" width="42.28515625" customWidth="1"/>
    <col min="2312" max="2560" width="24" customWidth="1"/>
    <col min="2561" max="2561" width="28.140625" customWidth="1"/>
    <col min="2562" max="2564" width="24" customWidth="1"/>
    <col min="2565" max="2565" width="44.85546875" customWidth="1"/>
    <col min="2566" max="2566" width="24" customWidth="1"/>
    <col min="2567" max="2567" width="42.28515625" customWidth="1"/>
    <col min="2568" max="2816" width="24" customWidth="1"/>
    <col min="2817" max="2817" width="28.140625" customWidth="1"/>
    <col min="2818" max="2820" width="24" customWidth="1"/>
    <col min="2821" max="2821" width="44.85546875" customWidth="1"/>
    <col min="2822" max="2822" width="24" customWidth="1"/>
    <col min="2823" max="2823" width="42.28515625" customWidth="1"/>
    <col min="2824" max="3072" width="24" customWidth="1"/>
    <col min="3073" max="3073" width="28.140625" customWidth="1"/>
    <col min="3074" max="3076" width="24" customWidth="1"/>
    <col min="3077" max="3077" width="44.85546875" customWidth="1"/>
    <col min="3078" max="3078" width="24" customWidth="1"/>
    <col min="3079" max="3079" width="42.28515625" customWidth="1"/>
    <col min="3080" max="3328" width="24" customWidth="1"/>
    <col min="3329" max="3329" width="28.140625" customWidth="1"/>
    <col min="3330" max="3332" width="24" customWidth="1"/>
    <col min="3333" max="3333" width="44.85546875" customWidth="1"/>
    <col min="3334" max="3334" width="24" customWidth="1"/>
    <col min="3335" max="3335" width="42.28515625" customWidth="1"/>
    <col min="3336" max="3584" width="24" customWidth="1"/>
    <col min="3585" max="3585" width="28.140625" customWidth="1"/>
    <col min="3586" max="3588" width="24" customWidth="1"/>
    <col min="3589" max="3589" width="44.85546875" customWidth="1"/>
    <col min="3590" max="3590" width="24" customWidth="1"/>
    <col min="3591" max="3591" width="42.28515625" customWidth="1"/>
    <col min="3592" max="3840" width="24" customWidth="1"/>
    <col min="3841" max="3841" width="28.140625" customWidth="1"/>
    <col min="3842" max="3844" width="24" customWidth="1"/>
    <col min="3845" max="3845" width="44.85546875" customWidth="1"/>
    <col min="3846" max="3846" width="24" customWidth="1"/>
    <col min="3847" max="3847" width="42.28515625" customWidth="1"/>
    <col min="3848" max="4096" width="24" customWidth="1"/>
    <col min="4097" max="4097" width="28.140625" customWidth="1"/>
    <col min="4098" max="4100" width="24" customWidth="1"/>
    <col min="4101" max="4101" width="44.85546875" customWidth="1"/>
    <col min="4102" max="4102" width="24" customWidth="1"/>
    <col min="4103" max="4103" width="42.28515625" customWidth="1"/>
    <col min="4104" max="4352" width="24" customWidth="1"/>
    <col min="4353" max="4353" width="28.140625" customWidth="1"/>
    <col min="4354" max="4356" width="24" customWidth="1"/>
    <col min="4357" max="4357" width="44.85546875" customWidth="1"/>
    <col min="4358" max="4358" width="24" customWidth="1"/>
    <col min="4359" max="4359" width="42.28515625" customWidth="1"/>
    <col min="4360" max="4608" width="24" customWidth="1"/>
    <col min="4609" max="4609" width="28.140625" customWidth="1"/>
    <col min="4610" max="4612" width="24" customWidth="1"/>
    <col min="4613" max="4613" width="44.85546875" customWidth="1"/>
    <col min="4614" max="4614" width="24" customWidth="1"/>
    <col min="4615" max="4615" width="42.28515625" customWidth="1"/>
    <col min="4616" max="4864" width="24" customWidth="1"/>
    <col min="4865" max="4865" width="28.140625" customWidth="1"/>
    <col min="4866" max="4868" width="24" customWidth="1"/>
    <col min="4869" max="4869" width="44.85546875" customWidth="1"/>
    <col min="4870" max="4870" width="24" customWidth="1"/>
    <col min="4871" max="4871" width="42.28515625" customWidth="1"/>
    <col min="4872" max="5120" width="24" customWidth="1"/>
    <col min="5121" max="5121" width="28.140625" customWidth="1"/>
    <col min="5122" max="5124" width="24" customWidth="1"/>
    <col min="5125" max="5125" width="44.85546875" customWidth="1"/>
    <col min="5126" max="5126" width="24" customWidth="1"/>
    <col min="5127" max="5127" width="42.28515625" customWidth="1"/>
    <col min="5128" max="5376" width="24" customWidth="1"/>
    <col min="5377" max="5377" width="28.140625" customWidth="1"/>
    <col min="5378" max="5380" width="24" customWidth="1"/>
    <col min="5381" max="5381" width="44.85546875" customWidth="1"/>
    <col min="5382" max="5382" width="24" customWidth="1"/>
    <col min="5383" max="5383" width="42.28515625" customWidth="1"/>
    <col min="5384" max="5632" width="24" customWidth="1"/>
    <col min="5633" max="5633" width="28.140625" customWidth="1"/>
    <col min="5634" max="5636" width="24" customWidth="1"/>
    <col min="5637" max="5637" width="44.85546875" customWidth="1"/>
    <col min="5638" max="5638" width="24" customWidth="1"/>
    <col min="5639" max="5639" width="42.28515625" customWidth="1"/>
    <col min="5640" max="5888" width="24" customWidth="1"/>
    <col min="5889" max="5889" width="28.140625" customWidth="1"/>
    <col min="5890" max="5892" width="24" customWidth="1"/>
    <col min="5893" max="5893" width="44.85546875" customWidth="1"/>
    <col min="5894" max="5894" width="24" customWidth="1"/>
    <col min="5895" max="5895" width="42.28515625" customWidth="1"/>
    <col min="5896" max="6144" width="24" customWidth="1"/>
    <col min="6145" max="6145" width="28.140625" customWidth="1"/>
    <col min="6146" max="6148" width="24" customWidth="1"/>
    <col min="6149" max="6149" width="44.85546875" customWidth="1"/>
    <col min="6150" max="6150" width="24" customWidth="1"/>
    <col min="6151" max="6151" width="42.28515625" customWidth="1"/>
    <col min="6152" max="6400" width="24" customWidth="1"/>
    <col min="6401" max="6401" width="28.140625" customWidth="1"/>
    <col min="6402" max="6404" width="24" customWidth="1"/>
    <col min="6405" max="6405" width="44.85546875" customWidth="1"/>
    <col min="6406" max="6406" width="24" customWidth="1"/>
    <col min="6407" max="6407" width="42.28515625" customWidth="1"/>
    <col min="6408" max="6656" width="24" customWidth="1"/>
    <col min="6657" max="6657" width="28.140625" customWidth="1"/>
    <col min="6658" max="6660" width="24" customWidth="1"/>
    <col min="6661" max="6661" width="44.85546875" customWidth="1"/>
    <col min="6662" max="6662" width="24" customWidth="1"/>
    <col min="6663" max="6663" width="42.28515625" customWidth="1"/>
    <col min="6664" max="6912" width="24" customWidth="1"/>
    <col min="6913" max="6913" width="28.140625" customWidth="1"/>
    <col min="6914" max="6916" width="24" customWidth="1"/>
    <col min="6917" max="6917" width="44.85546875" customWidth="1"/>
    <col min="6918" max="6918" width="24" customWidth="1"/>
    <col min="6919" max="6919" width="42.28515625" customWidth="1"/>
    <col min="6920" max="7168" width="24" customWidth="1"/>
    <col min="7169" max="7169" width="28.140625" customWidth="1"/>
    <col min="7170" max="7172" width="24" customWidth="1"/>
    <col min="7173" max="7173" width="44.85546875" customWidth="1"/>
    <col min="7174" max="7174" width="24" customWidth="1"/>
    <col min="7175" max="7175" width="42.28515625" customWidth="1"/>
    <col min="7176" max="7424" width="24" customWidth="1"/>
    <col min="7425" max="7425" width="28.140625" customWidth="1"/>
    <col min="7426" max="7428" width="24" customWidth="1"/>
    <col min="7429" max="7429" width="44.85546875" customWidth="1"/>
    <col min="7430" max="7430" width="24" customWidth="1"/>
    <col min="7431" max="7431" width="42.28515625" customWidth="1"/>
    <col min="7432" max="7680" width="24" customWidth="1"/>
    <col min="7681" max="7681" width="28.140625" customWidth="1"/>
    <col min="7682" max="7684" width="24" customWidth="1"/>
    <col min="7685" max="7685" width="44.85546875" customWidth="1"/>
    <col min="7686" max="7686" width="24" customWidth="1"/>
    <col min="7687" max="7687" width="42.28515625" customWidth="1"/>
    <col min="7688" max="7936" width="24" customWidth="1"/>
    <col min="7937" max="7937" width="28.140625" customWidth="1"/>
    <col min="7938" max="7940" width="24" customWidth="1"/>
    <col min="7941" max="7941" width="44.85546875" customWidth="1"/>
    <col min="7942" max="7942" width="24" customWidth="1"/>
    <col min="7943" max="7943" width="42.28515625" customWidth="1"/>
    <col min="7944" max="8192" width="24" customWidth="1"/>
    <col min="8193" max="8193" width="28.140625" customWidth="1"/>
    <col min="8194" max="8196" width="24" customWidth="1"/>
    <col min="8197" max="8197" width="44.85546875" customWidth="1"/>
    <col min="8198" max="8198" width="24" customWidth="1"/>
    <col min="8199" max="8199" width="42.28515625" customWidth="1"/>
    <col min="8200" max="8448" width="24" customWidth="1"/>
    <col min="8449" max="8449" width="28.140625" customWidth="1"/>
    <col min="8450" max="8452" width="24" customWidth="1"/>
    <col min="8453" max="8453" width="44.85546875" customWidth="1"/>
    <col min="8454" max="8454" width="24" customWidth="1"/>
    <col min="8455" max="8455" width="42.28515625" customWidth="1"/>
    <col min="8456" max="8704" width="24" customWidth="1"/>
    <col min="8705" max="8705" width="28.140625" customWidth="1"/>
    <col min="8706" max="8708" width="24" customWidth="1"/>
    <col min="8709" max="8709" width="44.85546875" customWidth="1"/>
    <col min="8710" max="8710" width="24" customWidth="1"/>
    <col min="8711" max="8711" width="42.28515625" customWidth="1"/>
    <col min="8712" max="8960" width="24" customWidth="1"/>
    <col min="8961" max="8961" width="28.140625" customWidth="1"/>
    <col min="8962" max="8964" width="24" customWidth="1"/>
    <col min="8965" max="8965" width="44.85546875" customWidth="1"/>
    <col min="8966" max="8966" width="24" customWidth="1"/>
    <col min="8967" max="8967" width="42.28515625" customWidth="1"/>
    <col min="8968" max="9216" width="24" customWidth="1"/>
    <col min="9217" max="9217" width="28.140625" customWidth="1"/>
    <col min="9218" max="9220" width="24" customWidth="1"/>
    <col min="9221" max="9221" width="44.85546875" customWidth="1"/>
    <col min="9222" max="9222" width="24" customWidth="1"/>
    <col min="9223" max="9223" width="42.28515625" customWidth="1"/>
    <col min="9224" max="9472" width="24" customWidth="1"/>
    <col min="9473" max="9473" width="28.140625" customWidth="1"/>
    <col min="9474" max="9476" width="24" customWidth="1"/>
    <col min="9477" max="9477" width="44.85546875" customWidth="1"/>
    <col min="9478" max="9478" width="24" customWidth="1"/>
    <col min="9479" max="9479" width="42.28515625" customWidth="1"/>
    <col min="9480" max="9728" width="24" customWidth="1"/>
    <col min="9729" max="9729" width="28.140625" customWidth="1"/>
    <col min="9730" max="9732" width="24" customWidth="1"/>
    <col min="9733" max="9733" width="44.85546875" customWidth="1"/>
    <col min="9734" max="9734" width="24" customWidth="1"/>
    <col min="9735" max="9735" width="42.28515625" customWidth="1"/>
    <col min="9736" max="9984" width="24" customWidth="1"/>
    <col min="9985" max="9985" width="28.140625" customWidth="1"/>
    <col min="9986" max="9988" width="24" customWidth="1"/>
    <col min="9989" max="9989" width="44.85546875" customWidth="1"/>
    <col min="9990" max="9990" width="24" customWidth="1"/>
    <col min="9991" max="9991" width="42.28515625" customWidth="1"/>
    <col min="9992" max="10240" width="24" customWidth="1"/>
    <col min="10241" max="10241" width="28.140625" customWidth="1"/>
    <col min="10242" max="10244" width="24" customWidth="1"/>
    <col min="10245" max="10245" width="44.85546875" customWidth="1"/>
    <col min="10246" max="10246" width="24" customWidth="1"/>
    <col min="10247" max="10247" width="42.28515625" customWidth="1"/>
    <col min="10248" max="10496" width="24" customWidth="1"/>
    <col min="10497" max="10497" width="28.140625" customWidth="1"/>
    <col min="10498" max="10500" width="24" customWidth="1"/>
    <col min="10501" max="10501" width="44.85546875" customWidth="1"/>
    <col min="10502" max="10502" width="24" customWidth="1"/>
    <col min="10503" max="10503" width="42.28515625" customWidth="1"/>
    <col min="10504" max="10752" width="24" customWidth="1"/>
    <col min="10753" max="10753" width="28.140625" customWidth="1"/>
    <col min="10754" max="10756" width="24" customWidth="1"/>
    <col min="10757" max="10757" width="44.85546875" customWidth="1"/>
    <col min="10758" max="10758" width="24" customWidth="1"/>
    <col min="10759" max="10759" width="42.28515625" customWidth="1"/>
    <col min="10760" max="11008" width="24" customWidth="1"/>
    <col min="11009" max="11009" width="28.140625" customWidth="1"/>
    <col min="11010" max="11012" width="24" customWidth="1"/>
    <col min="11013" max="11013" width="44.85546875" customWidth="1"/>
    <col min="11014" max="11014" width="24" customWidth="1"/>
    <col min="11015" max="11015" width="42.28515625" customWidth="1"/>
    <col min="11016" max="11264" width="24" customWidth="1"/>
    <col min="11265" max="11265" width="28.140625" customWidth="1"/>
    <col min="11266" max="11268" width="24" customWidth="1"/>
    <col min="11269" max="11269" width="44.85546875" customWidth="1"/>
    <col min="11270" max="11270" width="24" customWidth="1"/>
    <col min="11271" max="11271" width="42.28515625" customWidth="1"/>
    <col min="11272" max="11520" width="24" customWidth="1"/>
    <col min="11521" max="11521" width="28.140625" customWidth="1"/>
    <col min="11522" max="11524" width="24" customWidth="1"/>
    <col min="11525" max="11525" width="44.85546875" customWidth="1"/>
    <col min="11526" max="11526" width="24" customWidth="1"/>
    <col min="11527" max="11527" width="42.28515625" customWidth="1"/>
    <col min="11528" max="11776" width="24" customWidth="1"/>
    <col min="11777" max="11777" width="28.140625" customWidth="1"/>
    <col min="11778" max="11780" width="24" customWidth="1"/>
    <col min="11781" max="11781" width="44.85546875" customWidth="1"/>
    <col min="11782" max="11782" width="24" customWidth="1"/>
    <col min="11783" max="11783" width="42.28515625" customWidth="1"/>
    <col min="11784" max="12032" width="24" customWidth="1"/>
    <col min="12033" max="12033" width="28.140625" customWidth="1"/>
    <col min="12034" max="12036" width="24" customWidth="1"/>
    <col min="12037" max="12037" width="44.85546875" customWidth="1"/>
    <col min="12038" max="12038" width="24" customWidth="1"/>
    <col min="12039" max="12039" width="42.28515625" customWidth="1"/>
    <col min="12040" max="12288" width="24" customWidth="1"/>
    <col min="12289" max="12289" width="28.140625" customWidth="1"/>
    <col min="12290" max="12292" width="24" customWidth="1"/>
    <col min="12293" max="12293" width="44.85546875" customWidth="1"/>
    <col min="12294" max="12294" width="24" customWidth="1"/>
    <col min="12295" max="12295" width="42.28515625" customWidth="1"/>
    <col min="12296" max="12544" width="24" customWidth="1"/>
    <col min="12545" max="12545" width="28.140625" customWidth="1"/>
    <col min="12546" max="12548" width="24" customWidth="1"/>
    <col min="12549" max="12549" width="44.85546875" customWidth="1"/>
    <col min="12550" max="12550" width="24" customWidth="1"/>
    <col min="12551" max="12551" width="42.28515625" customWidth="1"/>
    <col min="12552" max="12800" width="24" customWidth="1"/>
    <col min="12801" max="12801" width="28.140625" customWidth="1"/>
    <col min="12802" max="12804" width="24" customWidth="1"/>
    <col min="12805" max="12805" width="44.85546875" customWidth="1"/>
    <col min="12806" max="12806" width="24" customWidth="1"/>
    <col min="12807" max="12807" width="42.28515625" customWidth="1"/>
    <col min="12808" max="13056" width="24" customWidth="1"/>
    <col min="13057" max="13057" width="28.140625" customWidth="1"/>
    <col min="13058" max="13060" width="24" customWidth="1"/>
    <col min="13061" max="13061" width="44.85546875" customWidth="1"/>
    <col min="13062" max="13062" width="24" customWidth="1"/>
    <col min="13063" max="13063" width="42.28515625" customWidth="1"/>
    <col min="13064" max="13312" width="24" customWidth="1"/>
    <col min="13313" max="13313" width="28.140625" customWidth="1"/>
    <col min="13314" max="13316" width="24" customWidth="1"/>
    <col min="13317" max="13317" width="44.85546875" customWidth="1"/>
    <col min="13318" max="13318" width="24" customWidth="1"/>
    <col min="13319" max="13319" width="42.28515625" customWidth="1"/>
    <col min="13320" max="13568" width="24" customWidth="1"/>
    <col min="13569" max="13569" width="28.140625" customWidth="1"/>
    <col min="13570" max="13572" width="24" customWidth="1"/>
    <col min="13573" max="13573" width="44.85546875" customWidth="1"/>
    <col min="13574" max="13574" width="24" customWidth="1"/>
    <col min="13575" max="13575" width="42.28515625" customWidth="1"/>
    <col min="13576" max="13824" width="24" customWidth="1"/>
    <col min="13825" max="13825" width="28.140625" customWidth="1"/>
    <col min="13826" max="13828" width="24" customWidth="1"/>
    <col min="13829" max="13829" width="44.85546875" customWidth="1"/>
    <col min="13830" max="13830" width="24" customWidth="1"/>
    <col min="13831" max="13831" width="42.28515625" customWidth="1"/>
    <col min="13832" max="14080" width="24" customWidth="1"/>
    <col min="14081" max="14081" width="28.140625" customWidth="1"/>
    <col min="14082" max="14084" width="24" customWidth="1"/>
    <col min="14085" max="14085" width="44.85546875" customWidth="1"/>
    <col min="14086" max="14086" width="24" customWidth="1"/>
    <col min="14087" max="14087" width="42.28515625" customWidth="1"/>
    <col min="14088" max="14336" width="24" customWidth="1"/>
    <col min="14337" max="14337" width="28.140625" customWidth="1"/>
    <col min="14338" max="14340" width="24" customWidth="1"/>
    <col min="14341" max="14341" width="44.85546875" customWidth="1"/>
    <col min="14342" max="14342" width="24" customWidth="1"/>
    <col min="14343" max="14343" width="42.28515625" customWidth="1"/>
    <col min="14344" max="14592" width="24" customWidth="1"/>
    <col min="14593" max="14593" width="28.140625" customWidth="1"/>
    <col min="14594" max="14596" width="24" customWidth="1"/>
    <col min="14597" max="14597" width="44.85546875" customWidth="1"/>
    <col min="14598" max="14598" width="24" customWidth="1"/>
    <col min="14599" max="14599" width="42.28515625" customWidth="1"/>
    <col min="14600" max="14848" width="24" customWidth="1"/>
    <col min="14849" max="14849" width="28.140625" customWidth="1"/>
    <col min="14850" max="14852" width="24" customWidth="1"/>
    <col min="14853" max="14853" width="44.85546875" customWidth="1"/>
    <col min="14854" max="14854" width="24" customWidth="1"/>
    <col min="14855" max="14855" width="42.28515625" customWidth="1"/>
    <col min="14856" max="15104" width="24" customWidth="1"/>
    <col min="15105" max="15105" width="28.140625" customWidth="1"/>
    <col min="15106" max="15108" width="24" customWidth="1"/>
    <col min="15109" max="15109" width="44.85546875" customWidth="1"/>
    <col min="15110" max="15110" width="24" customWidth="1"/>
    <col min="15111" max="15111" width="42.28515625" customWidth="1"/>
    <col min="15112" max="15360" width="24" customWidth="1"/>
    <col min="15361" max="15361" width="28.140625" customWidth="1"/>
    <col min="15362" max="15364" width="24" customWidth="1"/>
    <col min="15365" max="15365" width="44.85546875" customWidth="1"/>
    <col min="15366" max="15366" width="24" customWidth="1"/>
    <col min="15367" max="15367" width="42.28515625" customWidth="1"/>
    <col min="15368" max="15616" width="24" customWidth="1"/>
    <col min="15617" max="15617" width="28.140625" customWidth="1"/>
    <col min="15618" max="15620" width="24" customWidth="1"/>
    <col min="15621" max="15621" width="44.85546875" customWidth="1"/>
    <col min="15622" max="15622" width="24" customWidth="1"/>
    <col min="15623" max="15623" width="42.28515625" customWidth="1"/>
    <col min="15624" max="15872" width="24" customWidth="1"/>
    <col min="15873" max="15873" width="28.140625" customWidth="1"/>
    <col min="15874" max="15876" width="24" customWidth="1"/>
    <col min="15877" max="15877" width="44.85546875" customWidth="1"/>
    <col min="15878" max="15878" width="24" customWidth="1"/>
    <col min="15879" max="15879" width="42.28515625" customWidth="1"/>
    <col min="15880" max="16128" width="24" customWidth="1"/>
    <col min="16129" max="16129" width="28.140625" customWidth="1"/>
    <col min="16130" max="16132" width="24" customWidth="1"/>
    <col min="16133" max="16133" width="44.85546875" customWidth="1"/>
    <col min="16134" max="16134" width="24" customWidth="1"/>
    <col min="16135" max="16135" width="42.28515625" customWidth="1"/>
    <col min="16136" max="16384" width="24" customWidth="1"/>
  </cols>
  <sheetData>
    <row r="2" spans="1:9" ht="18.75" customHeight="1" x14ac:dyDescent="0.2">
      <c r="A2" s="16" t="s">
        <v>0</v>
      </c>
      <c r="B2" s="16"/>
      <c r="C2" s="17"/>
      <c r="D2" s="18"/>
      <c r="E2" s="16"/>
      <c r="F2" s="16"/>
      <c r="G2" s="16"/>
      <c r="H2" s="16"/>
      <c r="I2" s="16"/>
    </row>
    <row r="4" spans="1:9" ht="18.75" customHeight="1" x14ac:dyDescent="0.2">
      <c r="A4" s="21" t="s">
        <v>121</v>
      </c>
      <c r="B4" s="21"/>
      <c r="C4" s="22"/>
      <c r="D4" s="23"/>
      <c r="E4" s="21"/>
      <c r="F4" s="21"/>
      <c r="G4" s="21"/>
      <c r="H4" s="21"/>
      <c r="I4" s="21"/>
    </row>
    <row r="5" spans="1:9" ht="18.75" customHeight="1" x14ac:dyDescent="0.2">
      <c r="A5" s="24"/>
      <c r="B5" s="24"/>
      <c r="C5" s="25"/>
      <c r="D5" s="26"/>
      <c r="E5" s="24"/>
      <c r="F5" s="24"/>
      <c r="G5" s="24"/>
      <c r="H5" s="24"/>
      <c r="I5" s="24"/>
    </row>
    <row r="6" spans="1:9" s="33" customFormat="1" ht="27" customHeight="1" x14ac:dyDescent="0.2">
      <c r="A6" s="27" t="s">
        <v>2</v>
      </c>
      <c r="B6" s="28" t="s">
        <v>122</v>
      </c>
      <c r="C6" s="29" t="s">
        <v>123</v>
      </c>
      <c r="D6" s="30" t="s">
        <v>124</v>
      </c>
      <c r="E6" s="31" t="s">
        <v>125</v>
      </c>
      <c r="F6" s="31" t="s">
        <v>126</v>
      </c>
      <c r="G6" s="31" t="s">
        <v>1</v>
      </c>
      <c r="H6" s="31" t="s">
        <v>127</v>
      </c>
      <c r="I6" s="32" t="s">
        <v>128</v>
      </c>
    </row>
    <row r="7" spans="1:9" ht="18.75" customHeight="1" x14ac:dyDescent="0.2">
      <c r="A7" s="34" t="s">
        <v>10</v>
      </c>
      <c r="B7" s="35">
        <v>1353</v>
      </c>
      <c r="C7" s="36">
        <v>2187</v>
      </c>
      <c r="D7" s="124"/>
      <c r="E7" s="38" t="s">
        <v>94</v>
      </c>
      <c r="F7" s="39" t="s">
        <v>9</v>
      </c>
      <c r="G7" s="39" t="s">
        <v>129</v>
      </c>
      <c r="H7" s="39" t="s">
        <v>130</v>
      </c>
      <c r="I7" s="34" t="s">
        <v>131</v>
      </c>
    </row>
    <row r="8" spans="1:9" ht="18.75" customHeight="1" x14ac:dyDescent="0.2">
      <c r="A8" s="34" t="s">
        <v>11</v>
      </c>
      <c r="B8" s="35">
        <v>957</v>
      </c>
      <c r="C8" s="36">
        <v>1523</v>
      </c>
      <c r="D8" s="124"/>
      <c r="E8" s="38" t="s">
        <v>94</v>
      </c>
      <c r="F8" s="39" t="s">
        <v>9</v>
      </c>
      <c r="G8" s="39" t="s">
        <v>129</v>
      </c>
      <c r="H8" s="39" t="s">
        <v>130</v>
      </c>
      <c r="I8" s="34" t="s">
        <v>131</v>
      </c>
    </row>
    <row r="9" spans="1:9" ht="18.75" customHeight="1" x14ac:dyDescent="0.2">
      <c r="A9" s="34" t="s">
        <v>12</v>
      </c>
      <c r="B9" s="35">
        <v>774</v>
      </c>
      <c r="C9" s="36">
        <v>1325</v>
      </c>
      <c r="D9" s="124"/>
      <c r="E9" s="38" t="s">
        <v>94</v>
      </c>
      <c r="F9" s="39" t="s">
        <v>9</v>
      </c>
      <c r="G9" s="39" t="s">
        <v>129</v>
      </c>
      <c r="H9" s="39" t="s">
        <v>130</v>
      </c>
      <c r="I9" s="34" t="s">
        <v>131</v>
      </c>
    </row>
    <row r="10" spans="1:9" ht="18.75" customHeight="1" x14ac:dyDescent="0.2">
      <c r="A10" s="24"/>
      <c r="B10" s="40">
        <f>SUM(B7:B9)</f>
        <v>3084</v>
      </c>
      <c r="C10" s="41">
        <f>SUM(C7:C9)</f>
        <v>5035</v>
      </c>
      <c r="D10" s="26">
        <f>C10/B10</f>
        <v>1.6326199740596627</v>
      </c>
      <c r="E10" s="38"/>
      <c r="F10" s="24"/>
      <c r="G10" s="24"/>
      <c r="H10" s="24"/>
      <c r="I10" s="24"/>
    </row>
    <row r="11" spans="1:9" ht="18.75" customHeight="1" x14ac:dyDescent="0.2">
      <c r="A11" s="24"/>
      <c r="B11" s="24"/>
      <c r="C11" s="25"/>
      <c r="D11" s="26"/>
      <c r="E11" s="24"/>
      <c r="F11" s="24"/>
      <c r="G11" s="24"/>
      <c r="H11" s="24"/>
      <c r="I11" s="24"/>
    </row>
    <row r="12" spans="1:9" ht="18.75" customHeight="1" x14ac:dyDescent="0.2">
      <c r="A12" s="34" t="s">
        <v>13</v>
      </c>
      <c r="B12" s="35">
        <v>1423</v>
      </c>
      <c r="C12" s="36">
        <v>2306</v>
      </c>
      <c r="D12" s="124"/>
      <c r="E12" s="39" t="s">
        <v>95</v>
      </c>
      <c r="F12" s="39" t="s">
        <v>9</v>
      </c>
      <c r="G12" s="39" t="s">
        <v>132</v>
      </c>
      <c r="H12" s="39" t="s">
        <v>130</v>
      </c>
      <c r="I12" s="34" t="s">
        <v>131</v>
      </c>
    </row>
    <row r="13" spans="1:9" ht="18.75" customHeight="1" x14ac:dyDescent="0.2">
      <c r="A13" s="34" t="s">
        <v>14</v>
      </c>
      <c r="B13" s="35">
        <v>849</v>
      </c>
      <c r="C13" s="36">
        <v>1439</v>
      </c>
      <c r="D13" s="124"/>
      <c r="E13" s="39" t="s">
        <v>95</v>
      </c>
      <c r="F13" s="39" t="s">
        <v>9</v>
      </c>
      <c r="G13" s="39" t="s">
        <v>132</v>
      </c>
      <c r="H13" s="39" t="s">
        <v>130</v>
      </c>
      <c r="I13" s="34" t="s">
        <v>131</v>
      </c>
    </row>
    <row r="14" spans="1:9" ht="18.75" customHeight="1" x14ac:dyDescent="0.2">
      <c r="A14" s="34" t="s">
        <v>15</v>
      </c>
      <c r="B14" s="35">
        <v>1291</v>
      </c>
      <c r="C14" s="36">
        <v>2188</v>
      </c>
      <c r="D14" s="124"/>
      <c r="E14" s="39" t="s">
        <v>95</v>
      </c>
      <c r="F14" s="39" t="s">
        <v>9</v>
      </c>
      <c r="G14" s="39" t="s">
        <v>132</v>
      </c>
      <c r="H14" s="39" t="s">
        <v>130</v>
      </c>
      <c r="I14" s="34" t="s">
        <v>131</v>
      </c>
    </row>
    <row r="15" spans="1:9" s="33" customFormat="1" ht="18.75" customHeight="1" x14ac:dyDescent="0.2">
      <c r="A15" s="42"/>
      <c r="B15" s="40">
        <f>SUM(B12:B14)</f>
        <v>3563</v>
      </c>
      <c r="C15" s="41">
        <f>SUM(C12:C14)</f>
        <v>5933</v>
      </c>
      <c r="D15" s="26">
        <f>C15/B15</f>
        <v>1.6651698007297222</v>
      </c>
      <c r="E15" s="42"/>
      <c r="F15" s="42"/>
      <c r="G15" s="42"/>
      <c r="H15" s="42"/>
      <c r="I15" s="42"/>
    </row>
    <row r="16" spans="1:9" ht="18.75" customHeight="1" x14ac:dyDescent="0.2">
      <c r="A16" s="24"/>
      <c r="B16" s="24"/>
      <c r="C16" s="25"/>
      <c r="D16" s="26"/>
      <c r="E16" s="24"/>
      <c r="F16" s="24"/>
      <c r="G16" s="24"/>
      <c r="H16" s="24"/>
      <c r="I16" s="24"/>
    </row>
    <row r="17" spans="1:9" ht="18.75" customHeight="1" x14ac:dyDescent="0.2">
      <c r="A17" s="34" t="s">
        <v>16</v>
      </c>
      <c r="B17" s="35">
        <v>1279</v>
      </c>
      <c r="C17" s="36">
        <v>1893</v>
      </c>
      <c r="D17" s="124"/>
      <c r="E17" s="39" t="s">
        <v>96</v>
      </c>
      <c r="F17" s="39" t="s">
        <v>9</v>
      </c>
      <c r="G17" s="39" t="s">
        <v>133</v>
      </c>
      <c r="H17" s="39" t="s">
        <v>130</v>
      </c>
      <c r="I17" s="34" t="s">
        <v>131</v>
      </c>
    </row>
    <row r="18" spans="1:9" ht="18.75" customHeight="1" x14ac:dyDescent="0.2">
      <c r="A18" s="34" t="s">
        <v>17</v>
      </c>
      <c r="B18" s="35">
        <v>1618</v>
      </c>
      <c r="C18" s="36">
        <v>1767</v>
      </c>
      <c r="D18" s="124"/>
      <c r="E18" s="39" t="s">
        <v>96</v>
      </c>
      <c r="F18" s="39" t="s">
        <v>9</v>
      </c>
      <c r="G18" s="39" t="s">
        <v>133</v>
      </c>
      <c r="H18" s="39" t="s">
        <v>130</v>
      </c>
      <c r="I18" s="34" t="s">
        <v>131</v>
      </c>
    </row>
    <row r="19" spans="1:9" ht="18.75" customHeight="1" x14ac:dyDescent="0.2">
      <c r="A19" s="34" t="s">
        <v>18</v>
      </c>
      <c r="B19" s="35">
        <v>993</v>
      </c>
      <c r="C19" s="36">
        <v>1170</v>
      </c>
      <c r="D19" s="124"/>
      <c r="E19" s="39" t="s">
        <v>96</v>
      </c>
      <c r="F19" s="39" t="s">
        <v>9</v>
      </c>
      <c r="G19" s="39" t="s">
        <v>133</v>
      </c>
      <c r="H19" s="39" t="s">
        <v>130</v>
      </c>
      <c r="I19" s="34" t="s">
        <v>131</v>
      </c>
    </row>
    <row r="20" spans="1:9" s="33" customFormat="1" ht="18.75" customHeight="1" x14ac:dyDescent="0.2">
      <c r="A20" s="42"/>
      <c r="B20" s="40">
        <f>SUM(B17:B19)</f>
        <v>3890</v>
      </c>
      <c r="C20" s="41">
        <f>SUM(C17:C19)</f>
        <v>4830</v>
      </c>
      <c r="D20" s="26">
        <f>C20/B20</f>
        <v>1.2416452442159382</v>
      </c>
      <c r="E20" s="42"/>
      <c r="F20" s="42"/>
      <c r="G20" s="42"/>
      <c r="H20" s="42"/>
      <c r="I20" s="42"/>
    </row>
    <row r="21" spans="1:9" ht="18.75" customHeight="1" x14ac:dyDescent="0.2">
      <c r="A21" s="24"/>
      <c r="B21" s="24"/>
      <c r="C21" s="25"/>
      <c r="D21" s="26"/>
      <c r="E21" s="24"/>
      <c r="F21" s="24"/>
      <c r="G21" s="24"/>
      <c r="H21" s="24"/>
      <c r="I21" s="24"/>
    </row>
    <row r="22" spans="1:9" ht="18.75" customHeight="1" x14ac:dyDescent="0.2">
      <c r="A22" s="34" t="s">
        <v>83</v>
      </c>
      <c r="B22" s="43">
        <v>1353</v>
      </c>
      <c r="C22" s="44">
        <v>2196</v>
      </c>
      <c r="D22" s="37">
        <f>C22/B22</f>
        <v>1.623059866962306</v>
      </c>
      <c r="E22" s="38" t="s">
        <v>115</v>
      </c>
      <c r="F22" s="39" t="s">
        <v>82</v>
      </c>
      <c r="G22" s="39" t="s">
        <v>82</v>
      </c>
      <c r="H22" s="39" t="s">
        <v>130</v>
      </c>
      <c r="I22" s="34" t="s">
        <v>131</v>
      </c>
    </row>
    <row r="23" spans="1:9" ht="18.75" customHeight="1" x14ac:dyDescent="0.2">
      <c r="A23" s="34"/>
      <c r="B23" s="43"/>
      <c r="C23" s="44"/>
      <c r="D23" s="37"/>
      <c r="E23" s="38"/>
      <c r="F23" s="39"/>
      <c r="G23" s="39"/>
      <c r="H23" s="39"/>
      <c r="I23" s="34"/>
    </row>
    <row r="24" spans="1:9" ht="18.75" customHeight="1" x14ac:dyDescent="0.2">
      <c r="A24" s="34" t="s">
        <v>84</v>
      </c>
      <c r="B24" s="43">
        <v>1451</v>
      </c>
      <c r="C24" s="44">
        <v>2338</v>
      </c>
      <c r="D24" s="37">
        <f>C24/B24</f>
        <v>1.6113025499655409</v>
      </c>
      <c r="E24" s="38" t="s">
        <v>114</v>
      </c>
      <c r="F24" s="39" t="s">
        <v>82</v>
      </c>
      <c r="G24" s="39" t="s">
        <v>82</v>
      </c>
      <c r="H24" s="39" t="s">
        <v>130</v>
      </c>
      <c r="I24" s="34" t="s">
        <v>131</v>
      </c>
    </row>
    <row r="25" spans="1:9" ht="18.75" customHeight="1" x14ac:dyDescent="0.2">
      <c r="A25" s="34"/>
      <c r="B25" s="43"/>
      <c r="C25" s="44"/>
      <c r="D25" s="37"/>
      <c r="E25" s="38"/>
      <c r="F25" s="39"/>
      <c r="G25" s="39"/>
      <c r="H25" s="39"/>
      <c r="I25" s="34"/>
    </row>
    <row r="26" spans="1:9" ht="18.75" customHeight="1" x14ac:dyDescent="0.2">
      <c r="A26" s="34" t="s">
        <v>85</v>
      </c>
      <c r="B26" s="43">
        <v>944</v>
      </c>
      <c r="C26" s="44">
        <v>1262</v>
      </c>
      <c r="D26" s="37">
        <f>C26/B26</f>
        <v>1.3368644067796611</v>
      </c>
      <c r="E26" s="38" t="s">
        <v>113</v>
      </c>
      <c r="F26" s="39" t="s">
        <v>82</v>
      </c>
      <c r="G26" s="39" t="s">
        <v>82</v>
      </c>
      <c r="H26" s="39" t="s">
        <v>130</v>
      </c>
      <c r="I26" s="34" t="s">
        <v>131</v>
      </c>
    </row>
    <row r="27" spans="1:9" ht="18.75" customHeight="1" x14ac:dyDescent="0.2">
      <c r="A27" s="34"/>
      <c r="B27" s="43"/>
      <c r="C27" s="44"/>
      <c r="D27" s="37"/>
      <c r="E27" s="38"/>
      <c r="F27" s="39"/>
      <c r="G27" s="39"/>
      <c r="H27" s="39"/>
      <c r="I27" s="34"/>
    </row>
    <row r="28" spans="1:9" ht="18.75" customHeight="1" x14ac:dyDescent="0.2">
      <c r="A28" s="34" t="s">
        <v>86</v>
      </c>
      <c r="B28" s="43">
        <v>571</v>
      </c>
      <c r="C28" s="44">
        <v>755</v>
      </c>
      <c r="D28" s="37">
        <f>C28/B28</f>
        <v>1.3222416812609457</v>
      </c>
      <c r="E28" s="38" t="s">
        <v>112</v>
      </c>
      <c r="F28" s="39" t="s">
        <v>82</v>
      </c>
      <c r="G28" s="39" t="s">
        <v>133</v>
      </c>
      <c r="H28" s="39" t="s">
        <v>130</v>
      </c>
      <c r="I28" s="34" t="s">
        <v>131</v>
      </c>
    </row>
    <row r="29" spans="1:9" ht="18.75" customHeight="1" x14ac:dyDescent="0.2">
      <c r="A29" s="24"/>
      <c r="B29" s="24"/>
      <c r="C29" s="25"/>
      <c r="D29" s="26"/>
      <c r="E29" s="24"/>
      <c r="F29" s="24"/>
      <c r="G29" s="24"/>
      <c r="H29" s="24"/>
      <c r="I29" s="24"/>
    </row>
    <row r="30" spans="1:9" ht="18.75" customHeight="1" x14ac:dyDescent="0.2">
      <c r="A30" s="24"/>
      <c r="B30" s="24"/>
      <c r="C30" s="25"/>
      <c r="D30" s="125"/>
      <c r="E30" s="24"/>
      <c r="F30" s="24"/>
      <c r="G30" s="24"/>
      <c r="H30" s="24"/>
      <c r="I30" s="24"/>
    </row>
    <row r="31" spans="1:9" ht="18.75" customHeight="1" x14ac:dyDescent="0.2">
      <c r="A31" s="34" t="s">
        <v>22</v>
      </c>
      <c r="B31" s="35">
        <v>1589</v>
      </c>
      <c r="C31" s="36">
        <v>2494</v>
      </c>
      <c r="D31" s="125"/>
      <c r="E31" s="39" t="s">
        <v>97</v>
      </c>
      <c r="F31" s="39" t="s">
        <v>21</v>
      </c>
      <c r="G31" s="39" t="s">
        <v>134</v>
      </c>
      <c r="H31" s="39" t="s">
        <v>135</v>
      </c>
      <c r="I31" s="34" t="s">
        <v>131</v>
      </c>
    </row>
    <row r="32" spans="1:9" ht="18.75" customHeight="1" x14ac:dyDescent="0.2">
      <c r="A32" s="34" t="s">
        <v>23</v>
      </c>
      <c r="B32" s="35">
        <v>1744</v>
      </c>
      <c r="C32" s="36">
        <v>2721</v>
      </c>
      <c r="D32" s="125"/>
      <c r="E32" s="39" t="s">
        <v>97</v>
      </c>
      <c r="F32" s="39" t="s">
        <v>21</v>
      </c>
      <c r="G32" s="39" t="s">
        <v>134</v>
      </c>
      <c r="H32" s="39" t="s">
        <v>135</v>
      </c>
      <c r="I32" s="34" t="s">
        <v>131</v>
      </c>
    </row>
    <row r="33" spans="1:9" ht="18.75" customHeight="1" x14ac:dyDescent="0.2">
      <c r="A33" s="34"/>
      <c r="B33" s="43">
        <f>SUM(B31:B32)</f>
        <v>3333</v>
      </c>
      <c r="C33" s="44">
        <f>SUM(C31:C32)</f>
        <v>5215</v>
      </c>
      <c r="D33" s="37">
        <f>C33/B33</f>
        <v>1.5646564656465647</v>
      </c>
      <c r="E33" s="39"/>
      <c r="F33" s="39"/>
      <c r="G33" s="39"/>
      <c r="H33" s="39"/>
      <c r="I33" s="34"/>
    </row>
    <row r="34" spans="1:9" ht="18.75" customHeight="1" x14ac:dyDescent="0.2">
      <c r="A34" s="34"/>
      <c r="B34" s="35"/>
      <c r="C34" s="36"/>
      <c r="D34" s="37"/>
      <c r="E34" s="39"/>
      <c r="F34" s="39"/>
      <c r="G34" s="39"/>
      <c r="H34" s="39"/>
      <c r="I34" s="34"/>
    </row>
    <row r="35" spans="1:9" ht="18.75" customHeight="1" x14ac:dyDescent="0.2">
      <c r="A35" s="34" t="s">
        <v>24</v>
      </c>
      <c r="B35" s="35">
        <v>322</v>
      </c>
      <c r="C35" s="36">
        <v>462</v>
      </c>
      <c r="D35" s="37">
        <f>C35/B35</f>
        <v>1.4347826086956521</v>
      </c>
      <c r="E35" s="39" t="s">
        <v>99</v>
      </c>
      <c r="F35" s="39" t="s">
        <v>21</v>
      </c>
      <c r="G35" s="39" t="s">
        <v>87</v>
      </c>
      <c r="H35" s="39" t="s">
        <v>135</v>
      </c>
      <c r="I35" s="34" t="s">
        <v>131</v>
      </c>
    </row>
    <row r="36" spans="1:9" s="33" customFormat="1" ht="18.75" customHeight="1" x14ac:dyDescent="0.2">
      <c r="A36" s="42"/>
      <c r="B36" s="40"/>
      <c r="C36" s="41"/>
      <c r="D36" s="26"/>
      <c r="E36" s="42"/>
      <c r="F36" s="42"/>
      <c r="G36" s="42"/>
      <c r="H36" s="42"/>
      <c r="I36" s="42"/>
    </row>
    <row r="37" spans="1:9" ht="18.75" customHeight="1" x14ac:dyDescent="0.2">
      <c r="A37" s="34" t="s">
        <v>25</v>
      </c>
      <c r="B37" s="43">
        <v>1655</v>
      </c>
      <c r="C37" s="44">
        <v>2898</v>
      </c>
      <c r="D37" s="37">
        <f>C37/B37</f>
        <v>1.7510574018126888</v>
      </c>
      <c r="E37" s="38" t="s">
        <v>98</v>
      </c>
      <c r="F37" s="39" t="s">
        <v>21</v>
      </c>
      <c r="G37" s="39" t="s">
        <v>136</v>
      </c>
      <c r="H37" s="39" t="s">
        <v>135</v>
      </c>
      <c r="I37" s="34" t="s">
        <v>131</v>
      </c>
    </row>
    <row r="38" spans="1:9" ht="18.75" customHeight="1" x14ac:dyDescent="0.2">
      <c r="A38" s="24"/>
      <c r="B38" s="24"/>
      <c r="C38" s="25"/>
      <c r="D38" s="26"/>
      <c r="E38" s="24"/>
      <c r="F38" s="24"/>
      <c r="G38" s="24"/>
      <c r="H38" s="24"/>
      <c r="I38" s="24"/>
    </row>
    <row r="39" spans="1:9" ht="18.75" customHeight="1" x14ac:dyDescent="0.2">
      <c r="A39" s="34" t="s">
        <v>26</v>
      </c>
      <c r="B39" s="35">
        <v>1106</v>
      </c>
      <c r="C39" s="36">
        <v>1705</v>
      </c>
      <c r="D39" s="124"/>
      <c r="E39" s="38" t="s">
        <v>100</v>
      </c>
      <c r="F39" s="39" t="s">
        <v>21</v>
      </c>
      <c r="G39" s="39" t="s">
        <v>137</v>
      </c>
      <c r="H39" s="39" t="s">
        <v>135</v>
      </c>
      <c r="I39" s="34" t="s">
        <v>131</v>
      </c>
    </row>
    <row r="40" spans="1:9" ht="18.75" customHeight="1" x14ac:dyDescent="0.2">
      <c r="A40" s="34" t="s">
        <v>27</v>
      </c>
      <c r="B40" s="35">
        <v>1210</v>
      </c>
      <c r="C40" s="36">
        <v>1634</v>
      </c>
      <c r="D40" s="124"/>
      <c r="E40" s="38" t="s">
        <v>100</v>
      </c>
      <c r="F40" s="39" t="s">
        <v>21</v>
      </c>
      <c r="G40" s="39" t="s">
        <v>137</v>
      </c>
      <c r="H40" s="39" t="s">
        <v>135</v>
      </c>
      <c r="I40" s="34" t="s">
        <v>131</v>
      </c>
    </row>
    <row r="41" spans="1:9" ht="18.75" customHeight="1" x14ac:dyDescent="0.2">
      <c r="A41" s="34" t="s">
        <v>28</v>
      </c>
      <c r="B41" s="35">
        <v>932</v>
      </c>
      <c r="C41" s="36">
        <v>1251</v>
      </c>
      <c r="D41" s="124"/>
      <c r="E41" s="38" t="s">
        <v>100</v>
      </c>
      <c r="F41" s="39" t="s">
        <v>21</v>
      </c>
      <c r="G41" s="39" t="s">
        <v>137</v>
      </c>
      <c r="H41" s="39" t="s">
        <v>135</v>
      </c>
      <c r="I41" s="34" t="s">
        <v>131</v>
      </c>
    </row>
    <row r="42" spans="1:9" s="33" customFormat="1" ht="18.75" customHeight="1" x14ac:dyDescent="0.2">
      <c r="A42" s="42"/>
      <c r="B42" s="40">
        <f>SUM(B39:B41)</f>
        <v>3248</v>
      </c>
      <c r="C42" s="41">
        <f>SUM(C39:C41)</f>
        <v>4590</v>
      </c>
      <c r="D42" s="26">
        <f>C42/B42</f>
        <v>1.4131773399014778</v>
      </c>
      <c r="E42" s="42"/>
      <c r="F42" s="42"/>
      <c r="G42" s="42"/>
      <c r="H42" s="42"/>
      <c r="I42" s="42"/>
    </row>
    <row r="43" spans="1:9" ht="18.75" customHeight="1" x14ac:dyDescent="0.2">
      <c r="A43" s="24"/>
      <c r="B43" s="24"/>
      <c r="C43" s="25"/>
      <c r="D43" s="26"/>
      <c r="E43" s="24"/>
      <c r="F43" s="24"/>
      <c r="G43" s="24"/>
      <c r="H43" s="24"/>
      <c r="I43" s="24"/>
    </row>
    <row r="44" spans="1:9" ht="18.75" customHeight="1" x14ac:dyDescent="0.2">
      <c r="A44" s="34" t="s">
        <v>29</v>
      </c>
      <c r="B44" s="35">
        <v>1840</v>
      </c>
      <c r="C44" s="36">
        <v>2456</v>
      </c>
      <c r="D44" s="124"/>
      <c r="E44" s="38" t="s">
        <v>102</v>
      </c>
      <c r="F44" s="39" t="s">
        <v>21</v>
      </c>
      <c r="G44" s="39" t="s">
        <v>138</v>
      </c>
      <c r="H44" s="39" t="s">
        <v>135</v>
      </c>
      <c r="I44" s="34" t="s">
        <v>131</v>
      </c>
    </row>
    <row r="45" spans="1:9" ht="18.75" customHeight="1" x14ac:dyDescent="0.2">
      <c r="A45" s="34" t="s">
        <v>30</v>
      </c>
      <c r="B45" s="35">
        <v>1577</v>
      </c>
      <c r="C45" s="36">
        <v>1855</v>
      </c>
      <c r="D45" s="124"/>
      <c r="E45" s="38" t="s">
        <v>102</v>
      </c>
      <c r="F45" s="39" t="s">
        <v>21</v>
      </c>
      <c r="G45" s="39" t="s">
        <v>138</v>
      </c>
      <c r="H45" s="39" t="s">
        <v>135</v>
      </c>
      <c r="I45" s="34" t="s">
        <v>131</v>
      </c>
    </row>
    <row r="46" spans="1:9" ht="18.75" customHeight="1" x14ac:dyDescent="0.2">
      <c r="A46" s="34" t="s">
        <v>31</v>
      </c>
      <c r="B46" s="35">
        <v>565</v>
      </c>
      <c r="C46" s="36">
        <v>898</v>
      </c>
      <c r="D46" s="124"/>
      <c r="E46" s="38" t="s">
        <v>102</v>
      </c>
      <c r="F46" s="39" t="s">
        <v>21</v>
      </c>
      <c r="G46" s="39" t="s">
        <v>138</v>
      </c>
      <c r="H46" s="39" t="s">
        <v>135</v>
      </c>
      <c r="I46" s="34" t="s">
        <v>131</v>
      </c>
    </row>
    <row r="47" spans="1:9" ht="18.75" customHeight="1" x14ac:dyDescent="0.2">
      <c r="A47" s="34" t="s">
        <v>32</v>
      </c>
      <c r="B47" s="35">
        <v>466</v>
      </c>
      <c r="C47" s="36">
        <v>556</v>
      </c>
      <c r="D47" s="124"/>
      <c r="E47" s="38" t="s">
        <v>102</v>
      </c>
      <c r="F47" s="39" t="s">
        <v>21</v>
      </c>
      <c r="G47" s="39" t="s">
        <v>138</v>
      </c>
      <c r="H47" s="39" t="s">
        <v>135</v>
      </c>
      <c r="I47" s="34" t="s">
        <v>131</v>
      </c>
    </row>
    <row r="48" spans="1:9" s="33" customFormat="1" ht="18.75" customHeight="1" x14ac:dyDescent="0.2">
      <c r="A48" s="42"/>
      <c r="B48" s="40">
        <f>SUM(B44:B47)</f>
        <v>4448</v>
      </c>
      <c r="C48" s="41">
        <f>SUM(C44:C47)</f>
        <v>5765</v>
      </c>
      <c r="D48" s="26">
        <f>C48/B48</f>
        <v>1.2960881294964028</v>
      </c>
      <c r="E48" s="42"/>
      <c r="F48" s="42"/>
      <c r="G48" s="42"/>
      <c r="H48" s="42"/>
      <c r="I48" s="42"/>
    </row>
    <row r="49" spans="1:9" ht="18.75" customHeight="1" x14ac:dyDescent="0.2">
      <c r="A49" s="24"/>
      <c r="B49" s="24"/>
      <c r="C49" s="25"/>
      <c r="D49" s="26"/>
      <c r="E49" s="24"/>
      <c r="F49" s="24"/>
      <c r="G49" s="24"/>
      <c r="H49" s="24"/>
      <c r="I49" s="24"/>
    </row>
    <row r="50" spans="1:9" ht="18.75" customHeight="1" x14ac:dyDescent="0.2">
      <c r="A50" s="34" t="s">
        <v>33</v>
      </c>
      <c r="B50" s="35">
        <v>723</v>
      </c>
      <c r="C50" s="36">
        <v>1144</v>
      </c>
      <c r="D50" s="124"/>
      <c r="E50" s="38" t="s">
        <v>101</v>
      </c>
      <c r="F50" s="39" t="s">
        <v>21</v>
      </c>
      <c r="G50" s="39" t="s">
        <v>139</v>
      </c>
      <c r="H50" s="39" t="s">
        <v>135</v>
      </c>
      <c r="I50" s="34" t="s">
        <v>131</v>
      </c>
    </row>
    <row r="51" spans="1:9" ht="18.75" customHeight="1" x14ac:dyDescent="0.2">
      <c r="A51" s="34" t="s">
        <v>34</v>
      </c>
      <c r="B51" s="35">
        <v>1274</v>
      </c>
      <c r="C51" s="36">
        <v>1662</v>
      </c>
      <c r="D51" s="124"/>
      <c r="E51" s="38" t="s">
        <v>101</v>
      </c>
      <c r="F51" s="39" t="s">
        <v>21</v>
      </c>
      <c r="G51" s="39" t="s">
        <v>139</v>
      </c>
      <c r="H51" s="39" t="s">
        <v>135</v>
      </c>
      <c r="I51" s="34" t="s">
        <v>131</v>
      </c>
    </row>
    <row r="52" spans="1:9" s="33" customFormat="1" ht="18.75" customHeight="1" x14ac:dyDescent="0.2">
      <c r="A52" s="42"/>
      <c r="B52" s="40">
        <f>SUM(B50:B51)</f>
        <v>1997</v>
      </c>
      <c r="C52" s="41">
        <f>SUM(C50:C51)</f>
        <v>2806</v>
      </c>
      <c r="D52" s="26">
        <f>C52/B52</f>
        <v>1.4051076614922384</v>
      </c>
      <c r="E52" s="42"/>
      <c r="F52" s="42"/>
      <c r="G52" s="42"/>
      <c r="H52" s="42"/>
      <c r="I52" s="42"/>
    </row>
    <row r="53" spans="1:9" ht="18.75" customHeight="1" x14ac:dyDescent="0.2">
      <c r="A53" s="24"/>
      <c r="B53" s="24"/>
      <c r="C53" s="25"/>
      <c r="D53" s="26"/>
      <c r="E53" s="24"/>
      <c r="F53" s="24"/>
      <c r="G53" s="24"/>
      <c r="H53" s="24"/>
      <c r="I53" s="24"/>
    </row>
    <row r="54" spans="1:9" ht="18.75" customHeight="1" x14ac:dyDescent="0.2">
      <c r="A54" s="34" t="s">
        <v>4</v>
      </c>
      <c r="B54" s="43">
        <v>333</v>
      </c>
      <c r="C54" s="44">
        <v>628</v>
      </c>
      <c r="D54" s="37">
        <f>C54/B54</f>
        <v>1.8858858858858858</v>
      </c>
      <c r="E54" s="39" t="s">
        <v>140</v>
      </c>
      <c r="F54" s="39" t="s">
        <v>3</v>
      </c>
      <c r="G54" s="38" t="s">
        <v>141</v>
      </c>
      <c r="H54" s="39" t="s">
        <v>142</v>
      </c>
      <c r="I54" s="34" t="s">
        <v>131</v>
      </c>
    </row>
    <row r="55" spans="1:9" ht="18.75" customHeight="1" x14ac:dyDescent="0.2">
      <c r="A55" s="24"/>
      <c r="B55" s="24"/>
      <c r="C55" s="25"/>
      <c r="D55" s="26"/>
      <c r="E55" s="24"/>
      <c r="F55" s="24"/>
      <c r="G55" s="38"/>
      <c r="H55" s="24"/>
      <c r="I55" s="24"/>
    </row>
    <row r="56" spans="1:9" ht="18.75" customHeight="1" x14ac:dyDescent="0.2">
      <c r="A56" s="34" t="s">
        <v>143</v>
      </c>
      <c r="B56" s="35">
        <v>1497</v>
      </c>
      <c r="C56" s="36">
        <v>2494</v>
      </c>
      <c r="D56" s="124"/>
      <c r="E56" s="39" t="s">
        <v>140</v>
      </c>
      <c r="F56" s="39" t="s">
        <v>6</v>
      </c>
      <c r="G56" s="38" t="s">
        <v>144</v>
      </c>
      <c r="H56" s="39" t="s">
        <v>145</v>
      </c>
      <c r="I56" s="34" t="s">
        <v>131</v>
      </c>
    </row>
    <row r="57" spans="1:9" ht="18.75" customHeight="1" x14ac:dyDescent="0.2">
      <c r="A57" s="34" t="s">
        <v>146</v>
      </c>
      <c r="B57" s="35">
        <v>1332</v>
      </c>
      <c r="C57" s="36">
        <v>2311</v>
      </c>
      <c r="D57" s="124"/>
      <c r="E57" s="39" t="s">
        <v>140</v>
      </c>
      <c r="F57" s="39" t="s">
        <v>6</v>
      </c>
      <c r="G57" s="38" t="s">
        <v>144</v>
      </c>
      <c r="H57" s="39" t="s">
        <v>145</v>
      </c>
      <c r="I57" s="34" t="s">
        <v>131</v>
      </c>
    </row>
    <row r="58" spans="1:9" s="33" customFormat="1" ht="18.75" customHeight="1" x14ac:dyDescent="0.2">
      <c r="A58" s="42"/>
      <c r="B58" s="40">
        <f>SUM(B56:B57)</f>
        <v>2829</v>
      </c>
      <c r="C58" s="41">
        <f>SUM(C56:C57)</f>
        <v>4805</v>
      </c>
      <c r="D58" s="26">
        <f>C58/B58</f>
        <v>1.6984800282785437</v>
      </c>
      <c r="E58" s="42"/>
      <c r="F58" s="42"/>
      <c r="G58" s="42"/>
      <c r="H58" s="42"/>
      <c r="I58" s="42"/>
    </row>
    <row r="59" spans="1:9" ht="18.75" customHeight="1" x14ac:dyDescent="0.2">
      <c r="A59" s="24"/>
      <c r="B59" s="24"/>
      <c r="C59" s="25"/>
      <c r="D59" s="26"/>
      <c r="E59" s="24"/>
      <c r="F59" s="24"/>
      <c r="G59" s="24"/>
      <c r="H59" s="24"/>
      <c r="I59" s="24"/>
    </row>
    <row r="60" spans="1:9" ht="18.75" customHeight="1" x14ac:dyDescent="0.2">
      <c r="A60" s="34" t="s">
        <v>8</v>
      </c>
      <c r="B60" s="43">
        <v>1057</v>
      </c>
      <c r="C60" s="44">
        <v>1658</v>
      </c>
      <c r="D60" s="37">
        <f>C60/B60</f>
        <v>1.5685903500473037</v>
      </c>
      <c r="E60" s="39" t="s">
        <v>140</v>
      </c>
      <c r="F60" s="39" t="s">
        <v>7</v>
      </c>
      <c r="G60" s="38" t="s">
        <v>141</v>
      </c>
      <c r="H60" s="39" t="s">
        <v>142</v>
      </c>
      <c r="I60" s="34" t="s">
        <v>131</v>
      </c>
    </row>
    <row r="61" spans="1:9" ht="18.75" customHeight="1" x14ac:dyDescent="0.2">
      <c r="A61" s="24"/>
      <c r="B61" s="24"/>
      <c r="C61" s="25"/>
      <c r="D61" s="26"/>
      <c r="E61" s="24"/>
      <c r="F61" s="24"/>
      <c r="G61" s="38"/>
      <c r="H61" s="24"/>
      <c r="I61" s="24"/>
    </row>
    <row r="62" spans="1:9" ht="18.75" customHeight="1" x14ac:dyDescent="0.2">
      <c r="A62" s="34" t="s">
        <v>147</v>
      </c>
      <c r="B62" s="35">
        <v>75</v>
      </c>
      <c r="C62" s="36">
        <v>149</v>
      </c>
      <c r="D62" s="124"/>
      <c r="E62" s="39" t="s">
        <v>140</v>
      </c>
      <c r="F62" s="39" t="s">
        <v>19</v>
      </c>
      <c r="G62" s="39" t="s">
        <v>148</v>
      </c>
      <c r="H62" s="39" t="s">
        <v>142</v>
      </c>
      <c r="I62" s="34" t="s">
        <v>131</v>
      </c>
    </row>
    <row r="63" spans="1:9" ht="18.75" customHeight="1" x14ac:dyDescent="0.2">
      <c r="A63" s="34" t="s">
        <v>20</v>
      </c>
      <c r="B63" s="35">
        <v>82</v>
      </c>
      <c r="C63" s="36">
        <v>144</v>
      </c>
      <c r="D63" s="124"/>
      <c r="E63" s="39" t="s">
        <v>140</v>
      </c>
      <c r="F63" s="39" t="s">
        <v>19</v>
      </c>
      <c r="G63" s="39" t="s">
        <v>148</v>
      </c>
      <c r="H63" s="39" t="s">
        <v>142</v>
      </c>
      <c r="I63" s="34" t="s">
        <v>131</v>
      </c>
    </row>
    <row r="64" spans="1:9" ht="18.75" customHeight="1" x14ac:dyDescent="0.2">
      <c r="A64" s="24"/>
      <c r="B64" s="40">
        <f>SUM(B62:B63)</f>
        <v>157</v>
      </c>
      <c r="C64" s="41">
        <f>SUM(C62:C63)</f>
        <v>293</v>
      </c>
      <c r="D64" s="26">
        <f>C64/B64</f>
        <v>1.8662420382165605</v>
      </c>
      <c r="E64" s="24"/>
      <c r="F64" s="24"/>
      <c r="G64" s="24"/>
      <c r="H64" s="24"/>
      <c r="I64" s="24"/>
    </row>
    <row r="65" spans="1:9" ht="18.75" customHeight="1" x14ac:dyDescent="0.2">
      <c r="A65" s="24"/>
      <c r="B65" s="24"/>
      <c r="C65" s="25"/>
      <c r="D65" s="26"/>
      <c r="E65" s="24"/>
      <c r="F65" s="24"/>
      <c r="G65" s="24"/>
      <c r="H65" s="24"/>
      <c r="I65" s="24"/>
    </row>
    <row r="66" spans="1:9" ht="18.75" customHeight="1" x14ac:dyDescent="0.2">
      <c r="A66" s="34" t="s">
        <v>36</v>
      </c>
      <c r="B66" s="43">
        <v>1121</v>
      </c>
      <c r="C66" s="44">
        <v>1912</v>
      </c>
      <c r="D66" s="37">
        <f>C66/B66</f>
        <v>1.7056199821587867</v>
      </c>
      <c r="E66" s="39" t="s">
        <v>140</v>
      </c>
      <c r="F66" s="39" t="s">
        <v>35</v>
      </c>
      <c r="G66" s="39" t="s">
        <v>149</v>
      </c>
      <c r="H66" s="39" t="s">
        <v>64</v>
      </c>
      <c r="I66" s="34" t="s">
        <v>131</v>
      </c>
    </row>
    <row r="67" spans="1:9" ht="18.75" customHeight="1" x14ac:dyDescent="0.2">
      <c r="A67" s="24"/>
      <c r="B67" s="24"/>
      <c r="C67" s="25"/>
      <c r="D67" s="26"/>
      <c r="E67" s="24"/>
      <c r="F67" s="24"/>
      <c r="G67" s="24"/>
      <c r="H67" s="24"/>
      <c r="I67" s="24"/>
    </row>
    <row r="68" spans="1:9" ht="18.75" customHeight="1" x14ac:dyDescent="0.2">
      <c r="A68" s="34" t="s">
        <v>38</v>
      </c>
      <c r="B68" s="35">
        <v>657</v>
      </c>
      <c r="C68" s="36">
        <v>1225</v>
      </c>
      <c r="D68" s="124"/>
      <c r="E68" s="38" t="s">
        <v>104</v>
      </c>
      <c r="F68" s="39" t="s">
        <v>37</v>
      </c>
      <c r="G68" s="38" t="s">
        <v>144</v>
      </c>
      <c r="H68" s="39" t="s">
        <v>142</v>
      </c>
      <c r="I68" s="34" t="s">
        <v>131</v>
      </c>
    </row>
    <row r="69" spans="1:9" ht="18.75" customHeight="1" x14ac:dyDescent="0.2">
      <c r="A69" s="34" t="s">
        <v>40</v>
      </c>
      <c r="B69" s="35">
        <v>393</v>
      </c>
      <c r="C69" s="36">
        <v>674</v>
      </c>
      <c r="D69" s="124"/>
      <c r="E69" s="38" t="s">
        <v>104</v>
      </c>
      <c r="F69" s="39" t="s">
        <v>37</v>
      </c>
      <c r="G69" s="38" t="s">
        <v>144</v>
      </c>
      <c r="H69" s="39" t="s">
        <v>142</v>
      </c>
      <c r="I69" s="34" t="s">
        <v>131</v>
      </c>
    </row>
    <row r="70" spans="1:9" ht="18.75" customHeight="1" x14ac:dyDescent="0.2">
      <c r="A70" s="34"/>
      <c r="B70" s="43">
        <f>SUM(B68:B69)</f>
        <v>1050</v>
      </c>
      <c r="C70" s="44">
        <f>SUM(C68:C69)</f>
        <v>1899</v>
      </c>
      <c r="D70" s="37">
        <f>C70/B70</f>
        <v>1.8085714285714285</v>
      </c>
      <c r="E70" s="38"/>
      <c r="F70" s="39"/>
      <c r="G70" s="38"/>
      <c r="H70" s="39"/>
      <c r="I70" s="34"/>
    </row>
    <row r="71" spans="1:9" ht="18.75" customHeight="1" x14ac:dyDescent="0.2">
      <c r="A71" s="24"/>
      <c r="B71" s="24"/>
      <c r="C71" s="25"/>
      <c r="D71" s="26"/>
      <c r="E71" s="24"/>
      <c r="F71" s="24"/>
      <c r="G71" s="24"/>
      <c r="H71" s="24"/>
      <c r="I71" s="24"/>
    </row>
    <row r="72" spans="1:9" ht="18.75" customHeight="1" x14ac:dyDescent="0.2">
      <c r="A72" s="34" t="s">
        <v>39</v>
      </c>
      <c r="B72" s="43">
        <v>24</v>
      </c>
      <c r="C72" s="44">
        <v>42</v>
      </c>
      <c r="D72" s="37">
        <f>C72/B72</f>
        <v>1.75</v>
      </c>
      <c r="E72" s="38" t="s">
        <v>103</v>
      </c>
      <c r="F72" s="39" t="s">
        <v>37</v>
      </c>
      <c r="G72" s="38" t="s">
        <v>144</v>
      </c>
      <c r="H72" s="39" t="s">
        <v>142</v>
      </c>
      <c r="I72" s="34" t="s">
        <v>131</v>
      </c>
    </row>
    <row r="73" spans="1:9" ht="18.75" customHeight="1" x14ac:dyDescent="0.2">
      <c r="A73" s="24"/>
      <c r="B73" s="24"/>
      <c r="C73" s="25"/>
      <c r="D73" s="26"/>
      <c r="E73" s="24"/>
      <c r="F73" s="24"/>
      <c r="G73" s="24"/>
      <c r="H73" s="24"/>
      <c r="I73" s="24"/>
    </row>
    <row r="74" spans="1:9" ht="18.75" customHeight="1" x14ac:dyDescent="0.2">
      <c r="A74" s="34" t="s">
        <v>43</v>
      </c>
      <c r="B74" s="43">
        <v>343</v>
      </c>
      <c r="C74" s="44">
        <v>603</v>
      </c>
      <c r="D74" s="37">
        <f>C74/B74</f>
        <v>1.7580174927113703</v>
      </c>
      <c r="E74" s="39" t="s">
        <v>140</v>
      </c>
      <c r="F74" s="39" t="s">
        <v>42</v>
      </c>
      <c r="G74" s="38" t="s">
        <v>150</v>
      </c>
      <c r="H74" s="39" t="s">
        <v>145</v>
      </c>
      <c r="I74" s="34" t="s">
        <v>131</v>
      </c>
    </row>
    <row r="75" spans="1:9" ht="18.75" customHeight="1" x14ac:dyDescent="0.2">
      <c r="A75" s="24"/>
      <c r="B75" s="24"/>
      <c r="C75" s="25"/>
      <c r="D75" s="26"/>
      <c r="E75" s="24"/>
      <c r="F75" s="24"/>
      <c r="G75" s="24"/>
      <c r="H75" s="24"/>
      <c r="I75" s="24"/>
    </row>
    <row r="76" spans="1:9" ht="18.75" customHeight="1" x14ac:dyDescent="0.2">
      <c r="A76" s="34" t="s">
        <v>45</v>
      </c>
      <c r="B76" s="43">
        <v>528</v>
      </c>
      <c r="C76" s="44">
        <v>658</v>
      </c>
      <c r="D76" s="37">
        <f>C76/B76</f>
        <v>1.2462121212121211</v>
      </c>
      <c r="E76" s="39" t="s">
        <v>140</v>
      </c>
      <c r="F76" s="39" t="s">
        <v>44</v>
      </c>
      <c r="G76" s="38" t="s">
        <v>150</v>
      </c>
      <c r="H76" s="39" t="s">
        <v>145</v>
      </c>
      <c r="I76" s="34" t="s">
        <v>131</v>
      </c>
    </row>
    <row r="77" spans="1:9" ht="18.75" customHeight="1" x14ac:dyDescent="0.2">
      <c r="A77" s="24"/>
      <c r="B77" s="24"/>
      <c r="C77" s="25"/>
      <c r="D77" s="26"/>
      <c r="E77" s="24"/>
      <c r="F77" s="24"/>
      <c r="G77" s="24"/>
      <c r="H77" s="24"/>
      <c r="I77" s="24"/>
    </row>
    <row r="78" spans="1:9" ht="18.75" customHeight="1" x14ac:dyDescent="0.2">
      <c r="A78" s="34" t="s">
        <v>47</v>
      </c>
      <c r="B78" s="43">
        <v>217</v>
      </c>
      <c r="C78" s="44">
        <v>387</v>
      </c>
      <c r="D78" s="37">
        <f>C78/B78</f>
        <v>1.7834101382488479</v>
      </c>
      <c r="E78" s="39" t="s">
        <v>140</v>
      </c>
      <c r="F78" s="39" t="s">
        <v>46</v>
      </c>
      <c r="G78" s="38" t="s">
        <v>141</v>
      </c>
      <c r="H78" s="39" t="s">
        <v>142</v>
      </c>
      <c r="I78" s="34" t="s">
        <v>131</v>
      </c>
    </row>
    <row r="79" spans="1:9" ht="18.75" customHeight="1" x14ac:dyDescent="0.2">
      <c r="A79" s="24"/>
      <c r="B79" s="24"/>
      <c r="C79" s="25"/>
      <c r="D79" s="26"/>
      <c r="E79" s="24"/>
      <c r="F79" s="24"/>
      <c r="G79" s="24"/>
      <c r="H79" s="24"/>
      <c r="I79" s="24"/>
    </row>
    <row r="80" spans="1:9" ht="18.75" customHeight="1" x14ac:dyDescent="0.2">
      <c r="A80" s="34" t="s">
        <v>49</v>
      </c>
      <c r="B80" s="43">
        <v>268</v>
      </c>
      <c r="C80" s="44">
        <v>478</v>
      </c>
      <c r="D80" s="37">
        <f>C80/B80</f>
        <v>1.7835820895522387</v>
      </c>
      <c r="E80" s="39" t="s">
        <v>140</v>
      </c>
      <c r="F80" s="39" t="s">
        <v>48</v>
      </c>
      <c r="G80" s="38" t="s">
        <v>150</v>
      </c>
      <c r="H80" s="39" t="s">
        <v>145</v>
      </c>
      <c r="I80" s="34" t="s">
        <v>131</v>
      </c>
    </row>
    <row r="81" spans="1:9" ht="18.75" customHeight="1" x14ac:dyDescent="0.2">
      <c r="A81" s="24"/>
      <c r="B81" s="24"/>
      <c r="C81" s="25"/>
      <c r="D81" s="26"/>
      <c r="E81" s="24"/>
      <c r="F81" s="24"/>
      <c r="G81" s="24"/>
      <c r="H81" s="24"/>
      <c r="I81" s="24"/>
    </row>
    <row r="82" spans="1:9" ht="18.75" customHeight="1" x14ac:dyDescent="0.2">
      <c r="A82" s="34" t="s">
        <v>51</v>
      </c>
      <c r="B82" s="43">
        <v>337</v>
      </c>
      <c r="C82" s="44">
        <v>643</v>
      </c>
      <c r="D82" s="37">
        <f>C82/B82</f>
        <v>1.9080118694362018</v>
      </c>
      <c r="E82" s="39" t="s">
        <v>140</v>
      </c>
      <c r="F82" s="39" t="s">
        <v>50</v>
      </c>
      <c r="G82" s="39" t="s">
        <v>148</v>
      </c>
      <c r="H82" s="39" t="s">
        <v>142</v>
      </c>
      <c r="I82" s="34" t="s">
        <v>131</v>
      </c>
    </row>
    <row r="83" spans="1:9" ht="18.75" customHeight="1" x14ac:dyDescent="0.2">
      <c r="A83" s="24"/>
      <c r="B83" s="24"/>
      <c r="C83" s="25"/>
      <c r="D83" s="26"/>
      <c r="E83" s="24"/>
      <c r="F83" s="24"/>
      <c r="G83" s="24"/>
      <c r="H83" s="24"/>
      <c r="I83" s="24"/>
    </row>
    <row r="84" spans="1:9" ht="18.75" customHeight="1" x14ac:dyDescent="0.2">
      <c r="A84" s="34" t="s">
        <v>53</v>
      </c>
      <c r="B84" s="43">
        <v>340</v>
      </c>
      <c r="C84" s="44">
        <v>695</v>
      </c>
      <c r="D84" s="37">
        <f>C84/B84</f>
        <v>2.0441176470588234</v>
      </c>
      <c r="E84" s="39" t="s">
        <v>140</v>
      </c>
      <c r="F84" s="39" t="s">
        <v>52</v>
      </c>
      <c r="G84" s="38" t="s">
        <v>144</v>
      </c>
      <c r="H84" s="39" t="s">
        <v>145</v>
      </c>
      <c r="I84" s="34" t="s">
        <v>131</v>
      </c>
    </row>
    <row r="85" spans="1:9" ht="18.75" customHeight="1" x14ac:dyDescent="0.2">
      <c r="A85" s="24"/>
      <c r="B85" s="24"/>
      <c r="C85" s="25"/>
      <c r="D85" s="26"/>
      <c r="E85" s="24"/>
      <c r="F85" s="24"/>
      <c r="G85" s="24"/>
      <c r="H85" s="24"/>
      <c r="I85" s="24"/>
    </row>
    <row r="86" spans="1:9" ht="18.75" customHeight="1" x14ac:dyDescent="0.2">
      <c r="A86" s="34" t="s">
        <v>55</v>
      </c>
      <c r="B86" s="43">
        <v>317</v>
      </c>
      <c r="C86" s="44">
        <v>562</v>
      </c>
      <c r="D86" s="37">
        <f>C86/B86</f>
        <v>1.7728706624605679</v>
      </c>
      <c r="E86" s="39" t="s">
        <v>140</v>
      </c>
      <c r="F86" s="39" t="s">
        <v>54</v>
      </c>
      <c r="G86" s="39" t="s">
        <v>149</v>
      </c>
      <c r="H86" s="39" t="s">
        <v>145</v>
      </c>
      <c r="I86" s="34" t="s">
        <v>131</v>
      </c>
    </row>
    <row r="87" spans="1:9" ht="18.75" customHeight="1" x14ac:dyDescent="0.2">
      <c r="A87" s="24"/>
      <c r="B87" s="24"/>
      <c r="C87" s="25"/>
      <c r="D87" s="26"/>
      <c r="E87" s="24"/>
      <c r="F87" s="24"/>
      <c r="G87" s="24"/>
      <c r="H87" s="24"/>
      <c r="I87" s="24"/>
    </row>
    <row r="88" spans="1:9" ht="18.75" customHeight="1" x14ac:dyDescent="0.2">
      <c r="A88" s="34" t="s">
        <v>58</v>
      </c>
      <c r="B88" s="35">
        <v>246</v>
      </c>
      <c r="C88" s="36">
        <v>392</v>
      </c>
      <c r="D88" s="124"/>
      <c r="E88" s="39" t="s">
        <v>140</v>
      </c>
      <c r="F88" s="38" t="s">
        <v>57</v>
      </c>
      <c r="G88" s="38" t="s">
        <v>150</v>
      </c>
      <c r="H88" s="39" t="s">
        <v>145</v>
      </c>
      <c r="I88" s="34" t="s">
        <v>131</v>
      </c>
    </row>
    <row r="89" spans="1:9" ht="18.75" customHeight="1" x14ac:dyDescent="0.2">
      <c r="A89" s="34" t="s">
        <v>59</v>
      </c>
      <c r="B89" s="35">
        <v>826</v>
      </c>
      <c r="C89" s="36">
        <v>1314</v>
      </c>
      <c r="D89" s="124"/>
      <c r="E89" s="39" t="s">
        <v>140</v>
      </c>
      <c r="F89" s="38" t="s">
        <v>57</v>
      </c>
      <c r="G89" s="38" t="s">
        <v>150</v>
      </c>
      <c r="H89" s="39" t="s">
        <v>145</v>
      </c>
      <c r="I89" s="34" t="s">
        <v>131</v>
      </c>
    </row>
    <row r="90" spans="1:9" ht="18.75" customHeight="1" x14ac:dyDescent="0.2">
      <c r="A90" s="24"/>
      <c r="B90" s="40">
        <f>SUM(B88:B89)</f>
        <v>1072</v>
      </c>
      <c r="C90" s="41">
        <f>SUM(C88:C89)</f>
        <v>1706</v>
      </c>
      <c r="D90" s="26">
        <f>C90/B90</f>
        <v>1.5914179104477613</v>
      </c>
      <c r="E90" s="24"/>
      <c r="F90" s="24"/>
      <c r="G90" s="24"/>
      <c r="H90" s="24"/>
      <c r="I90" s="24"/>
    </row>
    <row r="91" spans="1:9" ht="18.75" customHeight="1" x14ac:dyDescent="0.2">
      <c r="A91" s="24"/>
      <c r="B91" s="24"/>
      <c r="C91" s="25"/>
      <c r="D91" s="26"/>
      <c r="E91" s="24"/>
      <c r="F91" s="24"/>
      <c r="G91" s="24"/>
      <c r="H91" s="24"/>
      <c r="I91" s="24"/>
    </row>
    <row r="92" spans="1:9" ht="18.75" customHeight="1" x14ac:dyDescent="0.2">
      <c r="A92" s="34" t="s">
        <v>61</v>
      </c>
      <c r="B92" s="43">
        <v>172</v>
      </c>
      <c r="C92" s="44">
        <v>298</v>
      </c>
      <c r="D92" s="37">
        <f>C92/B92</f>
        <v>1.7325581395348837</v>
      </c>
      <c r="E92" s="39" t="s">
        <v>140</v>
      </c>
      <c r="F92" s="39" t="s">
        <v>60</v>
      </c>
      <c r="G92" s="38" t="s">
        <v>150</v>
      </c>
      <c r="H92" s="39" t="s">
        <v>145</v>
      </c>
      <c r="I92" s="34" t="s">
        <v>131</v>
      </c>
    </row>
    <row r="93" spans="1:9" ht="18.75" customHeight="1" x14ac:dyDescent="0.2">
      <c r="A93" s="24"/>
      <c r="B93" s="24"/>
      <c r="C93" s="25"/>
      <c r="D93" s="26"/>
      <c r="E93" s="24"/>
      <c r="F93" s="24"/>
      <c r="G93" s="24"/>
      <c r="H93" s="24"/>
      <c r="I93" s="24"/>
    </row>
    <row r="94" spans="1:9" ht="18.75" customHeight="1" x14ac:dyDescent="0.2">
      <c r="A94" s="34" t="s">
        <v>63</v>
      </c>
      <c r="B94" s="43">
        <v>1656</v>
      </c>
      <c r="C94" s="44">
        <v>3017</v>
      </c>
      <c r="D94" s="37">
        <f>C94/B94</f>
        <v>1.8218599033816425</v>
      </c>
      <c r="E94" s="39" t="s">
        <v>140</v>
      </c>
      <c r="F94" s="39" t="s">
        <v>62</v>
      </c>
      <c r="G94" s="39" t="s">
        <v>148</v>
      </c>
      <c r="H94" s="39" t="s">
        <v>135</v>
      </c>
      <c r="I94" s="34" t="s">
        <v>131</v>
      </c>
    </row>
    <row r="95" spans="1:9" ht="18.75" customHeight="1" x14ac:dyDescent="0.2">
      <c r="A95" s="24"/>
      <c r="B95" s="24"/>
      <c r="C95" s="25"/>
      <c r="D95" s="26"/>
      <c r="E95" s="24"/>
      <c r="F95" s="24"/>
      <c r="G95" s="24"/>
      <c r="H95" s="24"/>
      <c r="I95" s="24"/>
    </row>
    <row r="96" spans="1:9" ht="18.75" customHeight="1" x14ac:dyDescent="0.2">
      <c r="A96" s="34" t="s">
        <v>69</v>
      </c>
      <c r="B96" s="43">
        <v>528</v>
      </c>
      <c r="C96" s="44">
        <v>876</v>
      </c>
      <c r="D96" s="37">
        <f>C96/B96</f>
        <v>1.6590909090909092</v>
      </c>
      <c r="E96" s="38" t="s">
        <v>110</v>
      </c>
      <c r="F96" s="39" t="s">
        <v>68</v>
      </c>
      <c r="G96" s="39" t="s">
        <v>149</v>
      </c>
      <c r="H96" s="39" t="s">
        <v>130</v>
      </c>
      <c r="I96" s="34" t="s">
        <v>131</v>
      </c>
    </row>
    <row r="97" spans="1:9" ht="18.75" customHeight="1" x14ac:dyDescent="0.2">
      <c r="A97" s="34"/>
      <c r="B97" s="43"/>
      <c r="C97" s="44"/>
      <c r="D97" s="37"/>
      <c r="E97" s="38"/>
      <c r="F97" s="39"/>
      <c r="G97" s="39"/>
      <c r="H97" s="39"/>
      <c r="I97" s="34"/>
    </row>
    <row r="98" spans="1:9" ht="18.75" customHeight="1" x14ac:dyDescent="0.2">
      <c r="A98" s="34" t="s">
        <v>70</v>
      </c>
      <c r="B98" s="43">
        <v>435</v>
      </c>
      <c r="C98" s="44">
        <v>660</v>
      </c>
      <c r="D98" s="37">
        <f>C98/B98</f>
        <v>1.5172413793103448</v>
      </c>
      <c r="E98" s="39" t="s">
        <v>109</v>
      </c>
      <c r="F98" s="39" t="s">
        <v>68</v>
      </c>
      <c r="G98" s="39" t="s">
        <v>129</v>
      </c>
      <c r="H98" s="39" t="s">
        <v>130</v>
      </c>
      <c r="I98" s="34" t="s">
        <v>131</v>
      </c>
    </row>
    <row r="99" spans="1:9" ht="18.75" customHeight="1" x14ac:dyDescent="0.2">
      <c r="A99" s="34"/>
      <c r="B99" s="43"/>
      <c r="C99" s="44"/>
      <c r="D99" s="37"/>
      <c r="E99" s="39"/>
      <c r="F99" s="39"/>
      <c r="G99" s="39"/>
      <c r="H99" s="39"/>
      <c r="I99" s="34"/>
    </row>
    <row r="100" spans="1:9" ht="18.75" customHeight="1" x14ac:dyDescent="0.2">
      <c r="A100" s="34" t="s">
        <v>71</v>
      </c>
      <c r="B100" s="43">
        <v>70</v>
      </c>
      <c r="C100" s="44">
        <v>93</v>
      </c>
      <c r="D100" s="37">
        <f>C100/B100</f>
        <v>1.3285714285714285</v>
      </c>
      <c r="E100" s="38" t="s">
        <v>111</v>
      </c>
      <c r="F100" s="39" t="s">
        <v>68</v>
      </c>
      <c r="G100" s="39" t="s">
        <v>133</v>
      </c>
      <c r="H100" s="39" t="s">
        <v>130</v>
      </c>
      <c r="I100" s="34" t="s">
        <v>131</v>
      </c>
    </row>
    <row r="101" spans="1:9" ht="18.75" customHeight="1" x14ac:dyDescent="0.2">
      <c r="A101" s="24"/>
      <c r="B101" s="24"/>
      <c r="C101" s="25"/>
      <c r="D101" s="26"/>
      <c r="E101" s="24"/>
      <c r="F101" s="24"/>
      <c r="G101" s="24"/>
      <c r="H101" s="24"/>
      <c r="I101" s="24"/>
    </row>
    <row r="102" spans="1:9" ht="18.75" customHeight="1" x14ac:dyDescent="0.2">
      <c r="A102" s="34" t="s">
        <v>66</v>
      </c>
      <c r="B102" s="43">
        <v>750</v>
      </c>
      <c r="C102" s="44">
        <v>1393</v>
      </c>
      <c r="D102" s="37">
        <f>C102/B102</f>
        <v>1.8573333333333333</v>
      </c>
      <c r="E102" s="38" t="s">
        <v>108</v>
      </c>
      <c r="F102" s="38" t="s">
        <v>65</v>
      </c>
      <c r="G102" s="38" t="s">
        <v>144</v>
      </c>
      <c r="H102" s="39" t="s">
        <v>142</v>
      </c>
      <c r="I102" s="34" t="s">
        <v>131</v>
      </c>
    </row>
    <row r="103" spans="1:9" ht="18.75" customHeight="1" x14ac:dyDescent="0.2">
      <c r="A103" s="34"/>
      <c r="B103" s="43"/>
      <c r="C103" s="44"/>
      <c r="D103" s="37"/>
      <c r="E103" s="38"/>
      <c r="F103" s="38"/>
      <c r="G103" s="38"/>
      <c r="H103" s="39"/>
      <c r="I103" s="34"/>
    </row>
    <row r="104" spans="1:9" ht="18.75" customHeight="1" x14ac:dyDescent="0.2">
      <c r="A104" s="34" t="s">
        <v>67</v>
      </c>
      <c r="B104" s="43">
        <v>88</v>
      </c>
      <c r="C104" s="44">
        <v>142</v>
      </c>
      <c r="D104" s="37">
        <f>C104/B104</f>
        <v>1.6136363636363635</v>
      </c>
      <c r="E104" s="38" t="s">
        <v>107</v>
      </c>
      <c r="F104" s="38" t="s">
        <v>65</v>
      </c>
      <c r="G104" s="38" t="s">
        <v>144</v>
      </c>
      <c r="H104" s="39" t="s">
        <v>142</v>
      </c>
      <c r="I104" s="34" t="s">
        <v>131</v>
      </c>
    </row>
    <row r="105" spans="1:9" ht="18.75" customHeight="1" x14ac:dyDescent="0.2">
      <c r="A105" s="24"/>
      <c r="B105" s="24"/>
      <c r="C105" s="25"/>
      <c r="D105" s="26"/>
      <c r="E105" s="24"/>
      <c r="F105" s="24"/>
      <c r="G105" s="24"/>
      <c r="H105" s="24"/>
      <c r="I105" s="24"/>
    </row>
    <row r="106" spans="1:9" ht="18.75" customHeight="1" x14ac:dyDescent="0.2">
      <c r="A106" s="34" t="s">
        <v>73</v>
      </c>
      <c r="B106" s="43">
        <v>1310</v>
      </c>
      <c r="C106" s="44">
        <v>2163</v>
      </c>
      <c r="D106" s="37">
        <f>C106/B106</f>
        <v>1.6511450381679389</v>
      </c>
      <c r="E106" s="39" t="s">
        <v>140</v>
      </c>
      <c r="F106" s="39" t="s">
        <v>72</v>
      </c>
      <c r="G106" s="38" t="s">
        <v>150</v>
      </c>
      <c r="H106" s="39" t="s">
        <v>145</v>
      </c>
      <c r="I106" s="34" t="s">
        <v>131</v>
      </c>
    </row>
    <row r="107" spans="1:9" ht="18.75" customHeight="1" x14ac:dyDescent="0.2">
      <c r="A107" s="24"/>
      <c r="B107" s="24"/>
      <c r="C107" s="25"/>
      <c r="D107" s="26"/>
      <c r="E107" s="24"/>
      <c r="F107" s="24"/>
      <c r="G107" s="24"/>
      <c r="H107" s="24"/>
      <c r="I107" s="24"/>
    </row>
    <row r="108" spans="1:9" ht="18.75" customHeight="1" x14ac:dyDescent="0.2">
      <c r="A108" s="34" t="s">
        <v>77</v>
      </c>
      <c r="B108" s="43">
        <v>335</v>
      </c>
      <c r="C108" s="44">
        <v>616</v>
      </c>
      <c r="D108" s="37">
        <f>C108/B108</f>
        <v>1.8388059701492536</v>
      </c>
      <c r="E108" s="39" t="s">
        <v>140</v>
      </c>
      <c r="F108" s="39" t="s">
        <v>76</v>
      </c>
      <c r="G108" s="39" t="s">
        <v>149</v>
      </c>
      <c r="H108" s="39" t="s">
        <v>145</v>
      </c>
      <c r="I108" s="34" t="s">
        <v>131</v>
      </c>
    </row>
    <row r="109" spans="1:9" ht="18.75" customHeight="1" x14ac:dyDescent="0.2">
      <c r="A109" s="34"/>
      <c r="B109" s="43"/>
      <c r="C109" s="44"/>
      <c r="D109" s="37"/>
      <c r="E109" s="39"/>
      <c r="F109" s="39"/>
      <c r="G109" s="39"/>
      <c r="H109" s="39"/>
      <c r="I109" s="34"/>
    </row>
    <row r="110" spans="1:9" ht="18.75" customHeight="1" x14ac:dyDescent="0.2">
      <c r="A110" s="34" t="s">
        <v>79</v>
      </c>
      <c r="B110" s="43">
        <v>766</v>
      </c>
      <c r="C110" s="44">
        <v>1381</v>
      </c>
      <c r="D110" s="37">
        <f>C110/B110</f>
        <v>1.8028720626631853</v>
      </c>
      <c r="E110" s="39" t="s">
        <v>140</v>
      </c>
      <c r="F110" s="39" t="s">
        <v>78</v>
      </c>
      <c r="G110" s="39" t="s">
        <v>148</v>
      </c>
      <c r="H110" s="39" t="s">
        <v>142</v>
      </c>
      <c r="I110" s="34" t="s">
        <v>131</v>
      </c>
    </row>
    <row r="111" spans="1:9" ht="18.75" customHeight="1" x14ac:dyDescent="0.2">
      <c r="A111" s="34"/>
      <c r="B111" s="43"/>
      <c r="C111" s="44"/>
      <c r="D111" s="37"/>
      <c r="E111" s="39"/>
      <c r="F111" s="39"/>
      <c r="G111" s="39"/>
      <c r="H111" s="39"/>
      <c r="I111" s="34"/>
    </row>
    <row r="112" spans="1:9" ht="18.75" customHeight="1" x14ac:dyDescent="0.2">
      <c r="A112" s="34" t="s">
        <v>81</v>
      </c>
      <c r="B112" s="43">
        <v>165</v>
      </c>
      <c r="C112" s="44">
        <v>295</v>
      </c>
      <c r="D112" s="37">
        <f>C112/B112</f>
        <v>1.7878787878787878</v>
      </c>
      <c r="E112" s="39" t="s">
        <v>140</v>
      </c>
      <c r="F112" s="39" t="s">
        <v>80</v>
      </c>
      <c r="G112" s="39" t="s">
        <v>149</v>
      </c>
      <c r="H112" s="39" t="s">
        <v>145</v>
      </c>
      <c r="I112" s="34" t="s">
        <v>131</v>
      </c>
    </row>
    <row r="113" spans="1:9" ht="18.75" customHeight="1" x14ac:dyDescent="0.2">
      <c r="A113" s="34"/>
      <c r="B113" s="35"/>
      <c r="C113" s="36"/>
      <c r="D113" s="37"/>
      <c r="E113" s="39"/>
      <c r="F113" s="39"/>
      <c r="G113" s="39"/>
      <c r="H113" s="39"/>
      <c r="I113" s="34"/>
    </row>
    <row r="114" spans="1:9" ht="18.75" customHeight="1" x14ac:dyDescent="0.2">
      <c r="A114" s="34" t="s">
        <v>88</v>
      </c>
      <c r="B114" s="35">
        <v>2390</v>
      </c>
      <c r="C114" s="36">
        <v>4227</v>
      </c>
      <c r="D114" s="124"/>
      <c r="E114" s="39" t="s">
        <v>140</v>
      </c>
      <c r="F114" s="39" t="s">
        <v>87</v>
      </c>
      <c r="G114" s="39" t="s">
        <v>87</v>
      </c>
      <c r="H114" s="39" t="s">
        <v>142</v>
      </c>
      <c r="I114" s="34" t="s">
        <v>131</v>
      </c>
    </row>
    <row r="115" spans="1:9" ht="18.75" customHeight="1" x14ac:dyDescent="0.2">
      <c r="A115" s="34" t="s">
        <v>89</v>
      </c>
      <c r="B115" s="35">
        <v>493</v>
      </c>
      <c r="C115" s="36">
        <v>856</v>
      </c>
      <c r="D115" s="124"/>
      <c r="E115" s="39" t="s">
        <v>140</v>
      </c>
      <c r="F115" s="39" t="s">
        <v>87</v>
      </c>
      <c r="G115" s="39" t="s">
        <v>87</v>
      </c>
      <c r="H115" s="39" t="s">
        <v>142</v>
      </c>
      <c r="I115" s="34" t="s">
        <v>131</v>
      </c>
    </row>
    <row r="116" spans="1:9" ht="18.75" customHeight="1" x14ac:dyDescent="0.2">
      <c r="A116" s="24"/>
      <c r="B116" s="40">
        <f>SUM(B114:B115)</f>
        <v>2883</v>
      </c>
      <c r="C116" s="41">
        <f>SUM(C114:C115)</f>
        <v>5083</v>
      </c>
      <c r="D116" s="26">
        <f>C116/B116</f>
        <v>1.7630939993062782</v>
      </c>
      <c r="E116" s="24"/>
      <c r="F116" s="24"/>
      <c r="G116" s="24"/>
      <c r="H116" s="24"/>
      <c r="I116" s="24"/>
    </row>
    <row r="117" spans="1:9" ht="18.75" customHeight="1" x14ac:dyDescent="0.2">
      <c r="A117" s="24"/>
      <c r="B117" s="24"/>
      <c r="C117" s="25"/>
      <c r="D117" s="26"/>
      <c r="E117" s="24"/>
      <c r="F117" s="24"/>
      <c r="G117" s="24"/>
      <c r="H117" s="24"/>
      <c r="I117" s="24"/>
    </row>
    <row r="118" spans="1:9" ht="18.75" customHeight="1" x14ac:dyDescent="0.2">
      <c r="A118" s="38" t="s">
        <v>151</v>
      </c>
      <c r="B118" s="43">
        <v>355</v>
      </c>
      <c r="C118" s="44">
        <v>675</v>
      </c>
      <c r="D118" s="37">
        <f>C118/B118</f>
        <v>1.9014084507042253</v>
      </c>
      <c r="E118" s="38" t="s">
        <v>117</v>
      </c>
      <c r="F118" s="39" t="s">
        <v>92</v>
      </c>
      <c r="G118" s="39" t="s">
        <v>149</v>
      </c>
      <c r="H118" s="39" t="s">
        <v>64</v>
      </c>
      <c r="I118" s="34" t="s">
        <v>131</v>
      </c>
    </row>
    <row r="119" spans="1:9" ht="18.75" customHeight="1" x14ac:dyDescent="0.2">
      <c r="A119" s="38"/>
      <c r="B119" s="43"/>
      <c r="C119" s="44"/>
      <c r="D119" s="37"/>
      <c r="E119" s="38"/>
      <c r="F119" s="39"/>
      <c r="G119" s="39"/>
      <c r="H119" s="39"/>
      <c r="I119" s="34"/>
    </row>
    <row r="120" spans="1:9" ht="18.75" customHeight="1" x14ac:dyDescent="0.2">
      <c r="A120" s="34" t="s">
        <v>152</v>
      </c>
      <c r="B120" s="43">
        <v>117</v>
      </c>
      <c r="C120" s="44">
        <v>146</v>
      </c>
      <c r="D120" s="37">
        <f>C120/B120</f>
        <v>1.2478632478632479</v>
      </c>
      <c r="E120" s="38" t="s">
        <v>116</v>
      </c>
      <c r="F120" s="39" t="s">
        <v>92</v>
      </c>
      <c r="G120" s="39" t="s">
        <v>64</v>
      </c>
      <c r="H120" s="39" t="s">
        <v>64</v>
      </c>
      <c r="I120" s="38" t="s">
        <v>153</v>
      </c>
    </row>
    <row r="121" spans="1:9" ht="18.75" customHeight="1" x14ac:dyDescent="0.2">
      <c r="A121" s="24"/>
      <c r="B121" s="40"/>
      <c r="C121" s="41"/>
      <c r="D121" s="26"/>
      <c r="E121" s="24"/>
      <c r="F121" s="24"/>
      <c r="G121" s="24"/>
      <c r="H121" s="24"/>
      <c r="I121" s="24"/>
    </row>
    <row r="122" spans="1:9" ht="18.75" customHeight="1" x14ac:dyDescent="0.2">
      <c r="A122" s="34" t="s">
        <v>154</v>
      </c>
      <c r="B122" s="43">
        <v>1539</v>
      </c>
      <c r="C122" s="44">
        <v>2777</v>
      </c>
      <c r="D122" s="37">
        <f>C122/B122</f>
        <v>1.8044184535412606</v>
      </c>
      <c r="E122" s="39" t="s">
        <v>140</v>
      </c>
      <c r="F122" s="39" t="s">
        <v>5</v>
      </c>
      <c r="G122" s="38" t="s">
        <v>155</v>
      </c>
      <c r="H122" s="39" t="s">
        <v>64</v>
      </c>
      <c r="I122" s="38" t="s">
        <v>153</v>
      </c>
    </row>
    <row r="123" spans="1:9" ht="18.75" customHeight="1" x14ac:dyDescent="0.2">
      <c r="A123" s="24"/>
      <c r="B123" s="42"/>
      <c r="C123" s="45"/>
      <c r="D123" s="26"/>
      <c r="E123" s="24"/>
      <c r="F123" s="24"/>
      <c r="G123" s="24"/>
      <c r="H123" s="24"/>
      <c r="I123" s="24"/>
    </row>
    <row r="124" spans="1:9" ht="18.75" customHeight="1" x14ac:dyDescent="0.2">
      <c r="A124" s="34" t="s">
        <v>156</v>
      </c>
      <c r="B124" s="43">
        <v>185</v>
      </c>
      <c r="C124" s="44">
        <v>308</v>
      </c>
      <c r="D124" s="37">
        <f>C124/B124</f>
        <v>1.664864864864865</v>
      </c>
      <c r="E124" s="39" t="s">
        <v>140</v>
      </c>
      <c r="F124" s="39" t="s">
        <v>41</v>
      </c>
      <c r="G124" s="38" t="s">
        <v>155</v>
      </c>
      <c r="H124" s="39" t="s">
        <v>64</v>
      </c>
      <c r="I124" s="38" t="s">
        <v>153</v>
      </c>
    </row>
    <row r="125" spans="1:9" ht="18.75" customHeight="1" x14ac:dyDescent="0.2">
      <c r="A125" s="24"/>
      <c r="B125" s="42"/>
      <c r="C125" s="45"/>
      <c r="D125" s="26"/>
      <c r="E125" s="24"/>
      <c r="F125" s="24"/>
      <c r="G125" s="24"/>
      <c r="H125" s="24"/>
      <c r="I125" s="24"/>
    </row>
    <row r="126" spans="1:9" ht="18.75" customHeight="1" x14ac:dyDescent="0.2">
      <c r="A126" s="34" t="s">
        <v>157</v>
      </c>
      <c r="B126" s="43">
        <v>396</v>
      </c>
      <c r="C126" s="44">
        <v>736</v>
      </c>
      <c r="D126" s="37">
        <f>C126/B126</f>
        <v>1.8585858585858586</v>
      </c>
      <c r="E126" s="39" t="s">
        <v>140</v>
      </c>
      <c r="F126" s="39" t="s">
        <v>56</v>
      </c>
      <c r="G126" s="38" t="s">
        <v>155</v>
      </c>
      <c r="H126" s="39" t="s">
        <v>64</v>
      </c>
      <c r="I126" s="38" t="s">
        <v>153</v>
      </c>
    </row>
    <row r="127" spans="1:9" ht="18.75" customHeight="1" x14ac:dyDescent="0.2">
      <c r="A127" s="24"/>
      <c r="B127" s="24"/>
      <c r="C127" s="25"/>
      <c r="D127" s="26"/>
      <c r="E127" s="24"/>
      <c r="F127" s="24"/>
      <c r="G127" s="24"/>
      <c r="H127" s="24"/>
      <c r="I127" s="24"/>
    </row>
    <row r="128" spans="1:9" ht="18.75" customHeight="1" x14ac:dyDescent="0.2">
      <c r="A128" s="34" t="s">
        <v>158</v>
      </c>
      <c r="B128" s="43">
        <v>1486</v>
      </c>
      <c r="C128" s="44">
        <v>2139</v>
      </c>
      <c r="D128" s="37">
        <f>C128/B128</f>
        <v>1.4394347240915208</v>
      </c>
      <c r="E128" s="38" t="s">
        <v>105</v>
      </c>
      <c r="F128" s="39" t="s">
        <v>64</v>
      </c>
      <c r="G128" s="39" t="s">
        <v>64</v>
      </c>
      <c r="H128" s="39" t="s">
        <v>64</v>
      </c>
      <c r="I128" s="38" t="s">
        <v>153</v>
      </c>
    </row>
    <row r="129" spans="1:9" ht="18.75" customHeight="1" x14ac:dyDescent="0.2">
      <c r="A129" s="34"/>
      <c r="B129" s="43"/>
      <c r="C129" s="44"/>
      <c r="D129" s="37"/>
      <c r="E129" s="38"/>
      <c r="F129" s="39"/>
      <c r="G129" s="39"/>
      <c r="H129" s="39"/>
      <c r="I129" s="38"/>
    </row>
    <row r="130" spans="1:9" ht="18.75" customHeight="1" x14ac:dyDescent="0.2">
      <c r="A130" s="34" t="s">
        <v>159</v>
      </c>
      <c r="B130" s="43">
        <v>1256</v>
      </c>
      <c r="C130" s="44">
        <v>2175</v>
      </c>
      <c r="D130" s="37">
        <f>C130/B130</f>
        <v>1.7316878980891719</v>
      </c>
      <c r="E130" s="38" t="s">
        <v>106</v>
      </c>
      <c r="F130" s="39" t="s">
        <v>64</v>
      </c>
      <c r="G130" s="39" t="s">
        <v>64</v>
      </c>
      <c r="H130" s="39" t="s">
        <v>64</v>
      </c>
      <c r="I130" s="38" t="s">
        <v>153</v>
      </c>
    </row>
    <row r="131" spans="1:9" ht="18.75" customHeight="1" x14ac:dyDescent="0.2">
      <c r="A131" s="24"/>
      <c r="B131" s="40"/>
      <c r="C131" s="41"/>
      <c r="D131" s="26"/>
      <c r="E131" s="24"/>
      <c r="F131" s="24"/>
      <c r="G131" s="24"/>
      <c r="H131" s="24"/>
      <c r="I131" s="24"/>
    </row>
    <row r="132" spans="1:9" ht="18.75" customHeight="1" x14ac:dyDescent="0.2">
      <c r="A132" s="34" t="s">
        <v>160</v>
      </c>
      <c r="B132" s="43">
        <v>252</v>
      </c>
      <c r="C132" s="44">
        <v>454</v>
      </c>
      <c r="D132" s="37">
        <f>C132/B132</f>
        <v>1.8015873015873016</v>
      </c>
      <c r="E132" s="39" t="s">
        <v>140</v>
      </c>
      <c r="F132" s="39" t="s">
        <v>74</v>
      </c>
      <c r="G132" s="38" t="s">
        <v>155</v>
      </c>
      <c r="H132" s="39" t="s">
        <v>64</v>
      </c>
      <c r="I132" s="38" t="s">
        <v>153</v>
      </c>
    </row>
    <row r="133" spans="1:9" ht="18.75" customHeight="1" x14ac:dyDescent="0.2">
      <c r="A133" s="24"/>
      <c r="B133" s="42"/>
      <c r="C133" s="45"/>
      <c r="D133" s="26"/>
      <c r="E133" s="24"/>
      <c r="F133" s="24"/>
      <c r="G133" s="24"/>
      <c r="H133" s="24"/>
      <c r="I133" s="24"/>
    </row>
    <row r="134" spans="1:9" ht="18.75" customHeight="1" x14ac:dyDescent="0.2">
      <c r="A134" s="34" t="s">
        <v>161</v>
      </c>
      <c r="B134" s="43">
        <v>131</v>
      </c>
      <c r="C134" s="44">
        <v>233</v>
      </c>
      <c r="D134" s="37">
        <f>C134/B134</f>
        <v>1.7786259541984732</v>
      </c>
      <c r="E134" s="39" t="s">
        <v>140</v>
      </c>
      <c r="F134" s="39" t="s">
        <v>75</v>
      </c>
      <c r="G134" s="38" t="s">
        <v>155</v>
      </c>
      <c r="H134" s="39" t="s">
        <v>64</v>
      </c>
      <c r="I134" s="38" t="s">
        <v>153</v>
      </c>
    </row>
    <row r="135" spans="1:9" ht="18.75" customHeight="1" x14ac:dyDescent="0.2">
      <c r="A135" s="24"/>
      <c r="B135" s="42"/>
      <c r="C135" s="45"/>
      <c r="D135" s="26"/>
      <c r="E135" s="24"/>
      <c r="F135" s="24"/>
      <c r="G135" s="24"/>
      <c r="H135" s="24"/>
      <c r="I135" s="24"/>
    </row>
    <row r="136" spans="1:9" ht="18.75" customHeight="1" x14ac:dyDescent="0.2">
      <c r="A136" s="34" t="s">
        <v>162</v>
      </c>
      <c r="B136" s="43">
        <v>803</v>
      </c>
      <c r="C136" s="44">
        <v>1437</v>
      </c>
      <c r="D136" s="37">
        <f>C136/B136</f>
        <v>1.7895392278953923</v>
      </c>
      <c r="E136" s="39" t="s">
        <v>140</v>
      </c>
      <c r="F136" s="39" t="s">
        <v>90</v>
      </c>
      <c r="G136" s="38" t="s">
        <v>155</v>
      </c>
      <c r="H136" s="39" t="s">
        <v>64</v>
      </c>
      <c r="I136" s="38" t="s">
        <v>153</v>
      </c>
    </row>
    <row r="137" spans="1:9" ht="18.75" customHeight="1" x14ac:dyDescent="0.2">
      <c r="A137" s="24"/>
      <c r="B137" s="42"/>
      <c r="C137" s="45"/>
      <c r="D137" s="26"/>
      <c r="E137" s="24"/>
      <c r="F137" s="24"/>
      <c r="G137" s="24"/>
      <c r="H137" s="24"/>
      <c r="I137" s="24"/>
    </row>
    <row r="138" spans="1:9" ht="18.75" customHeight="1" x14ac:dyDescent="0.2">
      <c r="A138" s="34" t="s">
        <v>163</v>
      </c>
      <c r="B138" s="43">
        <v>562</v>
      </c>
      <c r="C138" s="44">
        <v>1014</v>
      </c>
      <c r="D138" s="37">
        <f>C138/B138</f>
        <v>1.804270462633452</v>
      </c>
      <c r="E138" s="39" t="s">
        <v>140</v>
      </c>
      <c r="F138" s="39" t="s">
        <v>91</v>
      </c>
      <c r="G138" s="39" t="s">
        <v>64</v>
      </c>
      <c r="H138" s="39" t="s">
        <v>64</v>
      </c>
      <c r="I138" s="38" t="s">
        <v>153</v>
      </c>
    </row>
    <row r="139" spans="1:9" ht="18.75" customHeight="1" x14ac:dyDescent="0.2">
      <c r="A139" s="24"/>
      <c r="B139" s="24"/>
      <c r="C139" s="25"/>
      <c r="D139" s="26"/>
      <c r="E139" s="24"/>
      <c r="F139" s="24"/>
      <c r="G139" s="24"/>
      <c r="H139" s="24"/>
      <c r="I139" s="24"/>
    </row>
    <row r="140" spans="1:9" ht="18.75" customHeight="1" x14ac:dyDescent="0.2">
      <c r="A140" s="46" t="s">
        <v>164</v>
      </c>
      <c r="B140" s="47">
        <v>56092</v>
      </c>
      <c r="C140" s="47">
        <v>89165</v>
      </c>
      <c r="D140" s="48">
        <f>C140/B140</f>
        <v>1.5896206232617842</v>
      </c>
    </row>
    <row r="143" spans="1:9" ht="18.75" customHeight="1" x14ac:dyDescent="0.2">
      <c r="A143" s="49"/>
      <c r="B143" s="50"/>
      <c r="C143" s="51"/>
      <c r="D143" s="52"/>
      <c r="E143" s="50"/>
      <c r="F143" s="50"/>
      <c r="G143" s="50"/>
      <c r="H143" s="50"/>
      <c r="I143" s="50"/>
    </row>
  </sheetData>
  <sheetProtection algorithmName="SHA-512" hashValue="0gEKZssdj3D3BiTstOZsDPlBHszR6AbWgNx7CSUAOA01eSLgCTrSTPjRqJH0cKPmqNTnFp+oCgSX6rQyFWCIFw==" saltValue="VGwL3JvMM+vmchwD7HYU/g==" spinCount="100000" sheet="1" objects="1" scenarios="1" selectLockedCells="1" sort="0" autoFilter="0" selectUnlockedCells="1"/>
  <mergeCells count="12">
    <mergeCell ref="D114:D115"/>
    <mergeCell ref="D7:D9"/>
    <mergeCell ref="D12:D14"/>
    <mergeCell ref="D17:D19"/>
    <mergeCell ref="D30:D32"/>
    <mergeCell ref="D39:D41"/>
    <mergeCell ref="D44:D47"/>
    <mergeCell ref="D50:D51"/>
    <mergeCell ref="D56:D57"/>
    <mergeCell ref="D62:D63"/>
    <mergeCell ref="D68:D69"/>
    <mergeCell ref="D88:D89"/>
  </mergeCells>
  <pageMargins left="0.21666666666666667" right="0.25694444444444442" top="0.25" bottom="0.27500000000000002" header="0" footer="0"/>
  <pageSetup paperSize="9" fitToWidth="0" fitToHeight="0" orientation="portrait"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C4A8C-2085-4B89-8FA7-9C167ADFFB97}">
  <dimension ref="A1:P34"/>
  <sheetViews>
    <sheetView workbookViewId="0">
      <selection sqref="A1:XFD1048576"/>
    </sheetView>
  </sheetViews>
  <sheetFormatPr defaultColWidth="9.140625" defaultRowHeight="12.75" x14ac:dyDescent="0.2"/>
  <cols>
    <col min="1" max="1" width="21" style="55" customWidth="1"/>
    <col min="2" max="2" width="14.28515625" style="55" customWidth="1"/>
    <col min="3" max="3" width="14" style="55" customWidth="1"/>
    <col min="4" max="4" width="12.42578125" style="55" customWidth="1"/>
    <col min="5" max="5" width="13.7109375" style="55" customWidth="1"/>
    <col min="6" max="6" width="12.7109375" style="55" customWidth="1"/>
    <col min="7" max="7" width="13.140625" style="55" customWidth="1"/>
    <col min="8" max="8" width="12.28515625" style="55" customWidth="1"/>
    <col min="9" max="9" width="12.7109375" style="55" customWidth="1"/>
    <col min="10" max="13" width="11" style="55" customWidth="1"/>
    <col min="14" max="16384" width="9.140625" style="55"/>
  </cols>
  <sheetData>
    <row r="1" spans="1:16" ht="15" x14ac:dyDescent="0.25">
      <c r="A1" s="54" t="s">
        <v>166</v>
      </c>
      <c r="B1" s="54"/>
      <c r="C1" s="54"/>
      <c r="D1" s="54"/>
      <c r="E1" s="54"/>
      <c r="F1" s="54"/>
      <c r="G1" s="54"/>
      <c r="H1" s="54"/>
      <c r="I1" s="54"/>
      <c r="J1" s="54"/>
      <c r="K1" s="54"/>
      <c r="L1" s="54"/>
      <c r="M1" s="54"/>
    </row>
    <row r="2" spans="1:16" ht="15" x14ac:dyDescent="0.25">
      <c r="A2" s="54" t="s">
        <v>167</v>
      </c>
      <c r="B2" s="54"/>
      <c r="C2" s="54"/>
      <c r="D2" s="54"/>
      <c r="E2" s="54"/>
      <c r="F2" s="54"/>
      <c r="G2" s="54"/>
      <c r="H2" s="54"/>
      <c r="I2" s="54"/>
      <c r="J2" s="54"/>
      <c r="K2" s="54"/>
      <c r="L2" s="54"/>
      <c r="M2" s="54"/>
    </row>
    <row r="3" spans="1:16" ht="15" x14ac:dyDescent="0.25">
      <c r="A3" s="54" t="s">
        <v>168</v>
      </c>
      <c r="B3" s="54"/>
      <c r="C3" s="54"/>
      <c r="D3" s="54"/>
      <c r="E3" s="54"/>
      <c r="F3" s="54"/>
      <c r="G3" s="54"/>
      <c r="H3" s="54"/>
      <c r="I3" s="54"/>
      <c r="J3" s="54"/>
      <c r="K3" s="54"/>
      <c r="L3" s="54"/>
      <c r="M3" s="54"/>
    </row>
    <row r="4" spans="1:16" ht="30" x14ac:dyDescent="0.25">
      <c r="A4" s="56" t="s">
        <v>169</v>
      </c>
      <c r="B4" s="56" t="s">
        <v>170</v>
      </c>
      <c r="C4" s="56" t="s">
        <v>171</v>
      </c>
      <c r="D4" s="57">
        <v>2026</v>
      </c>
      <c r="E4" s="57">
        <v>2027</v>
      </c>
      <c r="F4" s="57">
        <v>2028</v>
      </c>
      <c r="G4" s="57">
        <v>2029</v>
      </c>
      <c r="H4" s="57">
        <v>2030</v>
      </c>
      <c r="I4" s="57">
        <v>2031</v>
      </c>
    </row>
    <row r="5" spans="1:16" ht="14.25" x14ac:dyDescent="0.2">
      <c r="A5" s="58" t="s">
        <v>172</v>
      </c>
      <c r="B5" s="58" t="s">
        <v>21</v>
      </c>
      <c r="C5" s="58" t="s">
        <v>173</v>
      </c>
      <c r="D5" s="59">
        <v>5278.1</v>
      </c>
      <c r="E5" s="59">
        <v>5160</v>
      </c>
      <c r="F5" s="59">
        <v>5128.3999999999996</v>
      </c>
      <c r="G5" s="59">
        <v>5105.2</v>
      </c>
      <c r="H5" s="59">
        <v>5074.8999999999996</v>
      </c>
      <c r="I5" s="59">
        <v>5041.2</v>
      </c>
    </row>
    <row r="6" spans="1:16" ht="14.25" x14ac:dyDescent="0.2">
      <c r="A6" s="58" t="s">
        <v>172</v>
      </c>
      <c r="B6" s="58" t="s">
        <v>21</v>
      </c>
      <c r="C6" s="58" t="s">
        <v>174</v>
      </c>
      <c r="D6" s="59">
        <v>6126.4</v>
      </c>
      <c r="E6" s="59">
        <v>6034.1</v>
      </c>
      <c r="F6" s="59">
        <v>5894.5</v>
      </c>
      <c r="G6" s="59">
        <v>5804.3</v>
      </c>
      <c r="H6" s="59">
        <v>5682</v>
      </c>
      <c r="I6" s="59">
        <v>5615.6</v>
      </c>
    </row>
    <row r="7" spans="1:16" ht="14.25" x14ac:dyDescent="0.2">
      <c r="A7" s="58" t="s">
        <v>172</v>
      </c>
      <c r="B7" s="58" t="s">
        <v>21</v>
      </c>
      <c r="C7" s="58" t="s">
        <v>175</v>
      </c>
      <c r="D7" s="59">
        <v>7081.3</v>
      </c>
      <c r="E7" s="59">
        <v>7042.4</v>
      </c>
      <c r="F7" s="59">
        <v>6946.2</v>
      </c>
      <c r="G7" s="59">
        <v>6852.1</v>
      </c>
      <c r="H7" s="59">
        <v>6795.3</v>
      </c>
      <c r="I7" s="59">
        <v>6656.5</v>
      </c>
    </row>
    <row r="8" spans="1:16" ht="14.25" x14ac:dyDescent="0.2">
      <c r="A8" s="58" t="s">
        <v>172</v>
      </c>
      <c r="B8" s="58" t="s">
        <v>21</v>
      </c>
      <c r="C8" s="60" t="s">
        <v>176</v>
      </c>
      <c r="D8" s="61">
        <v>6596.1</v>
      </c>
      <c r="E8" s="61">
        <v>6681.1</v>
      </c>
      <c r="F8" s="61">
        <v>6742.2</v>
      </c>
      <c r="G8" s="61">
        <v>6709.2</v>
      </c>
      <c r="H8" s="61">
        <v>6662.5</v>
      </c>
      <c r="I8" s="61">
        <v>6634.3</v>
      </c>
      <c r="K8" s="55" t="s">
        <v>177</v>
      </c>
      <c r="L8" s="126" t="s">
        <v>178</v>
      </c>
      <c r="M8" s="126"/>
      <c r="N8" s="126"/>
      <c r="O8" s="126"/>
      <c r="P8" s="126"/>
    </row>
    <row r="9" spans="1:16" ht="14.25" x14ac:dyDescent="0.2">
      <c r="A9" s="58" t="s">
        <v>172</v>
      </c>
      <c r="B9" s="58" t="s">
        <v>21</v>
      </c>
      <c r="C9" s="60" t="s">
        <v>179</v>
      </c>
      <c r="D9" s="61">
        <v>4943.3999999999996</v>
      </c>
      <c r="E9" s="61">
        <v>4965.2</v>
      </c>
      <c r="F9" s="61">
        <v>5043.5</v>
      </c>
      <c r="G9" s="61">
        <v>5131.8</v>
      </c>
      <c r="H9" s="61">
        <v>5233</v>
      </c>
      <c r="I9" s="61">
        <v>5327.5</v>
      </c>
      <c r="L9" s="126"/>
      <c r="M9" s="126"/>
      <c r="N9" s="126"/>
      <c r="O9" s="126"/>
      <c r="P9" s="126"/>
    </row>
    <row r="10" spans="1:16" ht="14.25" x14ac:dyDescent="0.2">
      <c r="A10" s="58" t="s">
        <v>172</v>
      </c>
      <c r="B10" s="58" t="s">
        <v>21</v>
      </c>
      <c r="C10" s="60" t="s">
        <v>180</v>
      </c>
      <c r="D10" s="61">
        <v>6208.5</v>
      </c>
      <c r="E10" s="61">
        <v>6112.7</v>
      </c>
      <c r="F10" s="61">
        <v>5944.8</v>
      </c>
      <c r="G10" s="61">
        <v>5892.7</v>
      </c>
      <c r="H10" s="61">
        <v>5906.7</v>
      </c>
      <c r="I10" s="61">
        <v>5959.8</v>
      </c>
      <c r="L10" s="126"/>
      <c r="M10" s="126"/>
      <c r="N10" s="126"/>
      <c r="O10" s="126"/>
      <c r="P10" s="126"/>
    </row>
    <row r="11" spans="1:16" ht="14.25" x14ac:dyDescent="0.2">
      <c r="A11" s="58" t="s">
        <v>172</v>
      </c>
      <c r="B11" s="58" t="s">
        <v>21</v>
      </c>
      <c r="C11" s="60" t="s">
        <v>181</v>
      </c>
      <c r="D11" s="61">
        <v>7255.7</v>
      </c>
      <c r="E11" s="61">
        <v>7169.5</v>
      </c>
      <c r="F11" s="61">
        <v>7195.1</v>
      </c>
      <c r="G11" s="61">
        <v>7115.9</v>
      </c>
      <c r="H11" s="61">
        <v>7035.8</v>
      </c>
      <c r="I11" s="61">
        <v>6936.1</v>
      </c>
      <c r="L11" s="53"/>
      <c r="M11" s="53"/>
      <c r="N11" s="53"/>
      <c r="O11" s="53"/>
      <c r="P11" s="53"/>
    </row>
    <row r="12" spans="1:16" ht="14.25" x14ac:dyDescent="0.2">
      <c r="A12" s="58" t="s">
        <v>172</v>
      </c>
      <c r="B12" s="58" t="s">
        <v>21</v>
      </c>
      <c r="C12" s="60" t="s">
        <v>182</v>
      </c>
      <c r="D12" s="61">
        <v>7744.3</v>
      </c>
      <c r="E12" s="61">
        <v>7912.8</v>
      </c>
      <c r="F12" s="61">
        <v>7959.2</v>
      </c>
      <c r="G12" s="61">
        <v>8014.7</v>
      </c>
      <c r="H12" s="61">
        <v>8030.6</v>
      </c>
      <c r="I12" s="61">
        <v>7962.1</v>
      </c>
      <c r="L12" s="53"/>
      <c r="M12" s="53"/>
      <c r="N12" s="53"/>
      <c r="O12" s="53"/>
      <c r="P12" s="53"/>
    </row>
    <row r="13" spans="1:16" ht="14.25" x14ac:dyDescent="0.2">
      <c r="A13" s="58" t="s">
        <v>172</v>
      </c>
      <c r="B13" s="58" t="s">
        <v>21</v>
      </c>
      <c r="C13" s="60" t="s">
        <v>183</v>
      </c>
      <c r="D13" s="61">
        <v>7125</v>
      </c>
      <c r="E13" s="61">
        <v>7375.2</v>
      </c>
      <c r="F13" s="61">
        <v>7624.5</v>
      </c>
      <c r="G13" s="61">
        <v>7868.6</v>
      </c>
      <c r="H13" s="61">
        <v>8033.4</v>
      </c>
      <c r="I13" s="61">
        <v>8224.7999999999993</v>
      </c>
      <c r="K13" s="55" t="s">
        <v>184</v>
      </c>
      <c r="L13" s="127" t="s">
        <v>185</v>
      </c>
      <c r="M13" s="127"/>
      <c r="N13" s="127"/>
      <c r="O13" s="127"/>
      <c r="P13" s="127"/>
    </row>
    <row r="14" spans="1:16" ht="14.25" x14ac:dyDescent="0.2">
      <c r="A14" s="58" t="s">
        <v>172</v>
      </c>
      <c r="B14" s="58" t="s">
        <v>21</v>
      </c>
      <c r="C14" s="60" t="s">
        <v>186</v>
      </c>
      <c r="D14" s="61">
        <v>6868.7</v>
      </c>
      <c r="E14" s="61">
        <v>7011.3</v>
      </c>
      <c r="F14" s="61">
        <v>7185.6</v>
      </c>
      <c r="G14" s="61">
        <v>7325.4</v>
      </c>
      <c r="H14" s="61">
        <v>7427.5</v>
      </c>
      <c r="I14" s="61">
        <v>7552.4</v>
      </c>
      <c r="L14" s="53"/>
      <c r="M14" s="53"/>
      <c r="N14" s="53"/>
      <c r="O14" s="53"/>
      <c r="P14" s="53"/>
    </row>
    <row r="15" spans="1:16" ht="14.25" x14ac:dyDescent="0.2">
      <c r="A15" s="58" t="s">
        <v>172</v>
      </c>
      <c r="B15" s="58" t="s">
        <v>21</v>
      </c>
      <c r="C15" s="60" t="s">
        <v>187</v>
      </c>
      <c r="D15" s="61">
        <v>7092.7</v>
      </c>
      <c r="E15" s="61">
        <v>6887.8</v>
      </c>
      <c r="F15" s="61">
        <v>6782.5</v>
      </c>
      <c r="G15" s="61">
        <v>6858.6</v>
      </c>
      <c r="H15" s="61">
        <v>7089.1</v>
      </c>
      <c r="I15" s="61">
        <v>7290.3</v>
      </c>
      <c r="L15" s="53"/>
      <c r="M15" s="53"/>
      <c r="N15" s="53"/>
      <c r="O15" s="53"/>
      <c r="P15" s="53"/>
    </row>
    <row r="16" spans="1:16" ht="14.25" x14ac:dyDescent="0.2">
      <c r="A16" s="58" t="s">
        <v>172</v>
      </c>
      <c r="B16" s="58" t="s">
        <v>21</v>
      </c>
      <c r="C16" s="60" t="s">
        <v>188</v>
      </c>
      <c r="D16" s="61">
        <v>8601.9</v>
      </c>
      <c r="E16" s="61">
        <v>8460.4</v>
      </c>
      <c r="F16" s="61">
        <v>8350.9</v>
      </c>
      <c r="G16" s="61">
        <v>8135.4</v>
      </c>
      <c r="H16" s="61">
        <v>7930.6</v>
      </c>
      <c r="I16" s="61">
        <v>7626.8</v>
      </c>
    </row>
    <row r="17" spans="1:11" ht="14.25" x14ac:dyDescent="0.2">
      <c r="A17" s="58" t="s">
        <v>172</v>
      </c>
      <c r="B17" s="58" t="s">
        <v>21</v>
      </c>
      <c r="C17" s="60" t="s">
        <v>189</v>
      </c>
      <c r="D17" s="61">
        <v>9412.4</v>
      </c>
      <c r="E17" s="61">
        <v>9496.2000000000007</v>
      </c>
      <c r="F17" s="61">
        <v>9473.9</v>
      </c>
      <c r="G17" s="61">
        <v>9390.5</v>
      </c>
      <c r="H17" s="61">
        <v>9143.5</v>
      </c>
      <c r="I17" s="61">
        <v>9141.7999999999993</v>
      </c>
    </row>
    <row r="18" spans="1:11" ht="14.25" x14ac:dyDescent="0.2">
      <c r="A18" s="58" t="s">
        <v>172</v>
      </c>
      <c r="B18" s="58" t="s">
        <v>21</v>
      </c>
      <c r="C18" s="60" t="s">
        <v>190</v>
      </c>
      <c r="D18" s="61">
        <v>8288.6</v>
      </c>
      <c r="E18" s="61">
        <v>8523.7999999999993</v>
      </c>
      <c r="F18" s="61">
        <v>8776.2000000000007</v>
      </c>
      <c r="G18" s="61">
        <v>8983</v>
      </c>
      <c r="H18" s="61">
        <v>9339.7000000000007</v>
      </c>
      <c r="I18" s="61">
        <v>9553</v>
      </c>
    </row>
    <row r="19" spans="1:11" ht="14.25" x14ac:dyDescent="0.2">
      <c r="A19" s="58" t="s">
        <v>172</v>
      </c>
      <c r="B19" s="58" t="s">
        <v>21</v>
      </c>
      <c r="C19" s="60" t="s">
        <v>191</v>
      </c>
      <c r="D19" s="61">
        <v>7065.1</v>
      </c>
      <c r="E19" s="61">
        <v>7274.1</v>
      </c>
      <c r="F19" s="61">
        <v>7404.9</v>
      </c>
      <c r="G19" s="61">
        <v>7612.9</v>
      </c>
      <c r="H19" s="61">
        <v>7742</v>
      </c>
      <c r="I19" s="61">
        <v>7941.8</v>
      </c>
    </row>
    <row r="20" spans="1:11" ht="14.25" x14ac:dyDescent="0.2">
      <c r="A20" s="58" t="s">
        <v>172</v>
      </c>
      <c r="B20" s="58" t="s">
        <v>21</v>
      </c>
      <c r="C20" s="60" t="s">
        <v>192</v>
      </c>
      <c r="D20" s="61">
        <v>6799.8</v>
      </c>
      <c r="E20" s="61">
        <v>6395.5</v>
      </c>
      <c r="F20" s="61">
        <v>6218.6</v>
      </c>
      <c r="G20" s="61">
        <v>6188</v>
      </c>
      <c r="H20" s="61">
        <v>6270.2</v>
      </c>
      <c r="I20" s="61">
        <v>6330.4</v>
      </c>
    </row>
    <row r="21" spans="1:11" ht="14.25" x14ac:dyDescent="0.2">
      <c r="A21" s="58" t="s">
        <v>172</v>
      </c>
      <c r="B21" s="58" t="s">
        <v>21</v>
      </c>
      <c r="C21" s="60" t="s">
        <v>193</v>
      </c>
      <c r="D21" s="61">
        <v>4707.3</v>
      </c>
      <c r="E21" s="61">
        <v>5218.3</v>
      </c>
      <c r="F21" s="61">
        <v>5533.9</v>
      </c>
      <c r="G21" s="61">
        <v>5626.6</v>
      </c>
      <c r="H21" s="61">
        <v>5616.1</v>
      </c>
      <c r="I21" s="61">
        <v>5586.9</v>
      </c>
    </row>
    <row r="22" spans="1:11" ht="14.25" x14ac:dyDescent="0.2">
      <c r="A22" s="58" t="s">
        <v>172</v>
      </c>
      <c r="B22" s="58" t="s">
        <v>21</v>
      </c>
      <c r="C22" s="60" t="s">
        <v>194</v>
      </c>
      <c r="D22" s="61">
        <v>2478.6999999999998</v>
      </c>
      <c r="E22" s="61">
        <v>2550.6</v>
      </c>
      <c r="F22" s="61">
        <v>2654.5</v>
      </c>
      <c r="G22" s="61">
        <v>2840.3</v>
      </c>
      <c r="H22" s="61">
        <v>3025.6</v>
      </c>
      <c r="I22" s="61">
        <v>3235.5</v>
      </c>
    </row>
    <row r="23" spans="1:11" ht="14.25" x14ac:dyDescent="0.2">
      <c r="A23" s="58" t="s">
        <v>172</v>
      </c>
      <c r="B23" s="58" t="s">
        <v>21</v>
      </c>
      <c r="C23" s="60" t="s">
        <v>195</v>
      </c>
      <c r="D23" s="61">
        <v>1315.8</v>
      </c>
      <c r="E23" s="61">
        <v>1367.9</v>
      </c>
      <c r="F23" s="61">
        <v>1422</v>
      </c>
      <c r="G23" s="61">
        <v>1468.2</v>
      </c>
      <c r="H23" s="61">
        <v>1510.8</v>
      </c>
      <c r="I23" s="61">
        <v>1531.5</v>
      </c>
    </row>
    <row r="24" spans="1:11" ht="14.25" x14ac:dyDescent="0.2">
      <c r="A24" s="58" t="s">
        <v>172</v>
      </c>
      <c r="B24" s="58" t="s">
        <v>21</v>
      </c>
      <c r="C24" s="58" t="s">
        <v>196</v>
      </c>
      <c r="D24" s="59">
        <v>120989.8</v>
      </c>
      <c r="E24" s="59">
        <v>121638.8</v>
      </c>
      <c r="F24" s="59">
        <v>122281.4</v>
      </c>
      <c r="G24" s="59">
        <v>122923.3</v>
      </c>
      <c r="H24" s="59">
        <v>123549.1</v>
      </c>
      <c r="I24" s="59">
        <v>124148.5</v>
      </c>
    </row>
    <row r="26" spans="1:11" ht="15.75" x14ac:dyDescent="0.25">
      <c r="D26" s="62">
        <v>102504</v>
      </c>
      <c r="E26" s="62">
        <v>103402</v>
      </c>
      <c r="F26" s="62">
        <v>104312</v>
      </c>
      <c r="G26" s="62">
        <v>105162</v>
      </c>
      <c r="H26" s="62">
        <v>105997</v>
      </c>
      <c r="I26" s="62">
        <v>106835</v>
      </c>
      <c r="K26" s="63"/>
    </row>
    <row r="28" spans="1:11" ht="12.75" customHeight="1" x14ac:dyDescent="0.2">
      <c r="E28" s="128" t="s">
        <v>201</v>
      </c>
      <c r="F28" s="128"/>
      <c r="G28" s="128"/>
      <c r="H28" s="128"/>
      <c r="I28" s="128"/>
    </row>
    <row r="29" spans="1:11" ht="12.75" customHeight="1" x14ac:dyDescent="0.2">
      <c r="E29" s="128"/>
      <c r="F29" s="128"/>
      <c r="G29" s="128"/>
      <c r="H29" s="128"/>
      <c r="I29" s="128"/>
    </row>
    <row r="30" spans="1:11" ht="12.75" customHeight="1" x14ac:dyDescent="0.2">
      <c r="E30" s="128"/>
      <c r="F30" s="128"/>
      <c r="G30" s="128"/>
      <c r="H30" s="128"/>
      <c r="I30" s="128"/>
    </row>
    <row r="31" spans="1:11" ht="12.75" customHeight="1" x14ac:dyDescent="0.2">
      <c r="E31" s="128"/>
      <c r="F31" s="128"/>
      <c r="G31" s="128"/>
      <c r="H31" s="128"/>
      <c r="I31" s="128"/>
    </row>
    <row r="32" spans="1:11" ht="18.75" customHeight="1" x14ac:dyDescent="0.2">
      <c r="E32" s="128"/>
      <c r="F32" s="128"/>
      <c r="G32" s="128"/>
      <c r="H32" s="128"/>
      <c r="I32" s="128"/>
    </row>
    <row r="34" spans="1:1" x14ac:dyDescent="0.2">
      <c r="A34" s="64" t="s">
        <v>197</v>
      </c>
    </row>
  </sheetData>
  <sheetProtection algorithmName="SHA-512" hashValue="gA5OjLYWFWUD4oiNXFFLKAX5+b1VHmGR+Sot2tDdyVhowNKRQaGql2Glb/hNd6fwc+9zrYVkAVbnN6lCnHJLCw==" saltValue="a1Q7VotD4BiNIesVtfBbFg==" spinCount="100000" sheet="1" objects="1" scenarios="1" selectLockedCells="1" selectUnlockedCells="1"/>
  <mergeCells count="3">
    <mergeCell ref="L8:P10"/>
    <mergeCell ref="L13:P13"/>
    <mergeCell ref="E28:I32"/>
  </mergeCells>
  <hyperlinks>
    <hyperlink ref="A34" r:id="rId1" xr:uid="{A26398BE-C776-40AB-BD97-CD7E7B0B977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3E239-011A-423B-98A6-3C956489358B}">
  <dimension ref="A45:Y68"/>
  <sheetViews>
    <sheetView workbookViewId="0">
      <selection sqref="A1:XFD1048576"/>
    </sheetView>
  </sheetViews>
  <sheetFormatPr defaultColWidth="9.140625" defaultRowHeight="12.75" x14ac:dyDescent="0.2"/>
  <cols>
    <col min="1" max="9" width="9.140625" style="55"/>
    <col min="10" max="15" width="10.5703125" style="55" bestFit="1" customWidth="1"/>
    <col min="16" max="16384" width="9.140625" style="55"/>
  </cols>
  <sheetData>
    <row r="45" spans="1:14" x14ac:dyDescent="0.2">
      <c r="A45" s="64" t="s">
        <v>198</v>
      </c>
      <c r="B45" s="65"/>
      <c r="C45" s="65"/>
      <c r="D45" s="65"/>
      <c r="E45" s="65"/>
      <c r="F45" s="65"/>
      <c r="G45" s="65"/>
      <c r="H45" s="65"/>
      <c r="I45" s="65"/>
      <c r="J45" s="65"/>
      <c r="K45" s="65"/>
      <c r="L45" s="65"/>
      <c r="M45" s="65"/>
      <c r="N45" s="65"/>
    </row>
    <row r="63" spans="10:15" ht="18.75" x14ac:dyDescent="0.3">
      <c r="J63" s="66">
        <v>128000</v>
      </c>
      <c r="K63" s="66">
        <v>128300</v>
      </c>
      <c r="L63" s="66">
        <v>128700</v>
      </c>
      <c r="M63" s="66">
        <v>129200</v>
      </c>
      <c r="N63" s="66">
        <v>129600</v>
      </c>
      <c r="O63" s="66">
        <v>130000</v>
      </c>
    </row>
    <row r="65" spans="10:25" x14ac:dyDescent="0.2">
      <c r="J65" s="129" t="s">
        <v>200</v>
      </c>
      <c r="K65" s="130"/>
      <c r="L65" s="130"/>
      <c r="M65" s="130"/>
      <c r="N65" s="130"/>
      <c r="O65" s="130"/>
      <c r="Q65" s="131" t="s">
        <v>199</v>
      </c>
      <c r="R65" s="132"/>
      <c r="S65" s="132"/>
      <c r="T65" s="132"/>
      <c r="U65" s="132"/>
      <c r="V65" s="132"/>
      <c r="W65" s="132"/>
      <c r="X65" s="132"/>
      <c r="Y65" s="132"/>
    </row>
    <row r="66" spans="10:25" x14ac:dyDescent="0.2">
      <c r="J66" s="130"/>
      <c r="K66" s="130"/>
      <c r="L66" s="130"/>
      <c r="M66" s="130"/>
      <c r="N66" s="130"/>
      <c r="O66" s="130"/>
      <c r="Q66" s="132"/>
      <c r="R66" s="132"/>
      <c r="S66" s="132"/>
      <c r="T66" s="132"/>
      <c r="U66" s="132"/>
      <c r="V66" s="132"/>
      <c r="W66" s="132"/>
      <c r="X66" s="132"/>
      <c r="Y66" s="132"/>
    </row>
    <row r="67" spans="10:25" x14ac:dyDescent="0.2">
      <c r="J67" s="130"/>
      <c r="K67" s="130"/>
      <c r="L67" s="130"/>
      <c r="M67" s="130"/>
      <c r="N67" s="130"/>
      <c r="O67" s="130"/>
    </row>
    <row r="68" spans="10:25" x14ac:dyDescent="0.2">
      <c r="J68" s="130"/>
      <c r="K68" s="130"/>
      <c r="L68" s="130"/>
      <c r="M68" s="130"/>
      <c r="N68" s="130"/>
      <c r="O68" s="130"/>
    </row>
  </sheetData>
  <sheetProtection algorithmName="SHA-512" hashValue="x5TgHTldKY7DhxnxH1EWWs4bXAEWPNdfUDk2qEQwdXXrA6Eupf8to3xO7K4P5wfxI24mdU/IcGRdItoSV8Li/w==" saltValue="X9PBZ+OpN3Avbi/7iDx1mw==" spinCount="100000" sheet="1" objects="1" scenarios="1" selectLockedCells="1" selectUnlockedCells="1"/>
  <mergeCells count="2">
    <mergeCell ref="J65:O68"/>
    <mergeCell ref="Q65:Y66"/>
  </mergeCells>
  <hyperlinks>
    <hyperlink ref="Q65" r:id="rId1" xr:uid="{15FA956B-C72C-4F0F-9839-A007F358CA7A}"/>
    <hyperlink ref="A45" r:id="rId2" xr:uid="{DFE1FC69-CAC0-40D4-925B-8DC3B9DD1C10}"/>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D4CA72EA2306428E9F9CA655735D5C" ma:contentTypeVersion="18" ma:contentTypeDescription="Create a new document." ma:contentTypeScope="" ma:versionID="ac270d6a89da96032d45ceccaf0ebe23">
  <xsd:schema xmlns:xsd="http://www.w3.org/2001/XMLSchema" xmlns:xs="http://www.w3.org/2001/XMLSchema" xmlns:p="http://schemas.microsoft.com/office/2006/metadata/properties" xmlns:ns2="ec50af32-df0c-42ee-9196-91b612fe6dfb" xmlns:ns3="64a073df-fedb-4715-9613-27bfcb38ca16" targetNamespace="http://schemas.microsoft.com/office/2006/metadata/properties" ma:root="true" ma:fieldsID="96945ab362e681145c0e1d8de265c480" ns2:_="" ns3:_="">
    <xsd:import namespace="ec50af32-df0c-42ee-9196-91b612fe6dfb"/>
    <xsd:import namespace="64a073df-fedb-4715-9613-27bfcb38ca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0af32-df0c-42ee-9196-91b612fe6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29ce0d0-c994-4e3c-9ad7-7601abb05e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a073df-fedb-4715-9613-27bfcb38ca1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4c30af1-e235-40e9-b45b-1db1cd4142ca}" ma:internalName="TaxCatchAll" ma:showField="CatchAllData" ma:web="64a073df-fedb-4715-9613-27bfcb38ca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c50af32-df0c-42ee-9196-91b612fe6dfb">
      <Terms xmlns="http://schemas.microsoft.com/office/infopath/2007/PartnerControls"/>
    </lcf76f155ced4ddcb4097134ff3c332f>
    <TaxCatchAll xmlns="64a073df-fedb-4715-9613-27bfcb38ca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7510E0-25CE-46F7-822F-201B2227F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50af32-df0c-42ee-9196-91b612fe6dfb"/>
    <ds:schemaRef ds:uri="64a073df-fedb-4715-9613-27bfcb38ca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6E2037-010A-42B7-BE57-C2A82DC3B403}">
  <ds:schemaRef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ec50af32-df0c-42ee-9196-91b612fe6dfb"/>
    <ds:schemaRef ds:uri="64a073df-fedb-4715-9613-27bfcb38ca16"/>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81619FD-0655-4340-B0D9-89F746E71C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DDC Electorate Forecast</vt:lpstr>
      <vt:lpstr>Notes</vt:lpstr>
      <vt:lpstr>Average electors per property</vt:lpstr>
      <vt:lpstr>ONS Data for comparison</vt:lpstr>
      <vt:lpstr>KCC data for comparison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Analysis Parish Electorate Totals</dc:title>
  <dc:creator>Crystal Decisions</dc:creator>
  <dc:description>Powered by Crystal</dc:description>
  <cp:lastModifiedBy>Tracy Gibbs</cp:lastModifiedBy>
  <cp:lastPrinted>2026-02-06T09:32:48Z</cp:lastPrinted>
  <dcterms:created xsi:type="dcterms:W3CDTF">2025-10-24T12:35:07Z</dcterms:created>
  <dcterms:modified xsi:type="dcterms:W3CDTF">2026-02-11T13:02:58Z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0x010100DCD4CA72EA2306428E9F9CA655735D5C</vt:lpwstr>
  </property>
</Properties>
</file>